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Default Extension="wmf" ContentType="image/x-wmf"/>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mbeddings/oleObject1.bin" ContentType="application/vnd.openxmlformats-officedocument.oleObject"/>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20490" windowHeight="7650" tabRatio="852" firstSheet="18" activeTab="19"/>
  </bookViews>
  <sheets>
    <sheet name="DULIEUDAUVAO" sheetId="15" state="veryHidden" r:id="rId1"/>
    <sheet name="DGXDCT_1" sheetId="17" state="veryHidden" r:id="rId2"/>
    <sheet name="THDGDT" sheetId="3" state="veryHidden" r:id="rId3"/>
    <sheet name="DGCTDT" sheetId="4" state="veryHidden" r:id="rId4"/>
    <sheet name="HE SO" sheetId="27" state="veryHidden" r:id="rId5"/>
    <sheet name="TỔNG HỢP GIÁ (2)" sheetId="47" state="hidden" r:id="rId6"/>
    <sheet name="Cốt thép tam lat(Lồ Ồ)" sheetId="50" state="hidden" r:id="rId7"/>
    <sheet name="Cthép mặt cầu(Rạch Miễu)" sheetId="76" state="hidden" r:id="rId8"/>
    <sheet name="Cốt thép TUONG canh(Rạch Miễu)" sheetId="68" state="hidden" r:id="rId9"/>
    <sheet name="Cốt thép ban day(Rach Mieu)" sheetId="66" state="hidden" r:id="rId10"/>
    <sheet name="Cốt thép ban day(Lồ Ồ) (2)" sheetId="60" state="hidden" r:id="rId11"/>
    <sheet name="Cốt thép mặt cầu(Lồ Ồ)" sheetId="53" state="hidden" r:id="rId12"/>
    <sheet name="CThép TUONG canh(Lồ Ồ) sông" sheetId="75" state="hidden" r:id="rId13"/>
    <sheet name="Cthép ban day canh(Lồ Ồ) sông" sheetId="73" state="hidden" r:id="rId14"/>
    <sheet name="Cốt thép TUONG canh(Lồ Ồ) (2)" sheetId="71" state="hidden" r:id="rId15"/>
    <sheet name="Cthép tương canh(Lồ Ồ) đồng" sheetId="72" state="hidden" r:id="rId16"/>
    <sheet name="Cthép ban day canh(Lồ Ồ) đồng" sheetId="52" state="hidden" r:id="rId17"/>
    <sheet name="Cốt thép ban day(Lồ Ồ)" sheetId="55" state="hidden" r:id="rId18"/>
    <sheet name="Gia tri DC đợt 1" sheetId="112" r:id="rId19"/>
    <sheet name="Thuyết minh (đợt 1)" sheetId="106" r:id="rId20"/>
    <sheet name="TỔNG HỢP" sheetId="119" r:id="rId21"/>
    <sheet name="CHI TIẾT THIẾT BỊ CHẾ TẠO" sheetId="105" state="hidden" r:id="rId22"/>
    <sheet name="KL đào ống dẫn dòng" sheetId="56" state="hidden" r:id="rId23"/>
    <sheet name="Cốt thép cọc(Lồ Ồ)" sheetId="43" state="hidden" r:id="rId24"/>
    <sheet name="Cốt thép cọc(Rạch Miễu)" sheetId="48" state="hidden" r:id="rId25"/>
    <sheet name="sai lệch thiết kế" sheetId="70" state="hidden" r:id="rId26"/>
    <sheet name="Tổng hợp phát sinh" sheetId="78" state="hidden" r:id="rId27"/>
    <sheet name="Cốt thép tuong(Rạch Miễu) (PS)" sheetId="79" state="hidden" r:id="rId28"/>
    <sheet name="Cốt thép tuong(Lồ Ồ) (PS)" sheetId="80" state="hidden" r:id="rId29"/>
    <sheet name="Cthép tuong canh(RM)ps" sheetId="81" state="hidden" r:id="rId30"/>
    <sheet name="Cthép đáy tuong canh(RM)ps" sheetId="82" state="hidden" r:id="rId31"/>
  </sheets>
  <externalReferences>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s>
  <definedNames>
    <definedName name="_">NA()</definedName>
    <definedName name="_?????">NA()</definedName>
    <definedName name="___TB1" localSheetId="10">#REF!</definedName>
    <definedName name="___TB1" localSheetId="9">#REF!</definedName>
    <definedName name="___TB1" localSheetId="14">#REF!</definedName>
    <definedName name="___TB1" localSheetId="13">#REF!</definedName>
    <definedName name="___TB1" localSheetId="15">#REF!</definedName>
    <definedName name="___TB1" localSheetId="12">#REF!</definedName>
    <definedName name="___TB1" localSheetId="18">#REF!</definedName>
    <definedName name="___TB1" localSheetId="19">#REF!</definedName>
    <definedName name="__0DATA_DATA2_L">NA()</definedName>
    <definedName name="__TB1" localSheetId="10">#REF!</definedName>
    <definedName name="__TB1" localSheetId="9">#REF!</definedName>
    <definedName name="__TB1" localSheetId="14">#REF!</definedName>
    <definedName name="__TB1" localSheetId="13">#REF!</definedName>
    <definedName name="__TB1" localSheetId="15">#REF!</definedName>
    <definedName name="__TB1" localSheetId="12">#REF!</definedName>
    <definedName name="__TB1" localSheetId="18">#REF!</definedName>
    <definedName name="__TB1" localSheetId="19">#REF!</definedName>
    <definedName name="_a1" localSheetId="18" hidden="1">{"'Sheet1'!$L$16"}</definedName>
    <definedName name="_a129" localSheetId="18" hidden="1">{"Offgrid",#N/A,FALSE,"OFFGRID";"Region",#N/A,FALSE,"REGION";"Offgrid -2",#N/A,FALSE,"OFFGRID";"WTP",#N/A,FALSE,"WTP";"WTP -2",#N/A,FALSE,"WTP";"Project",#N/A,FALSE,"PROJECT";"Summary -2",#N/A,FALSE,"SUMMARY"}</definedName>
    <definedName name="_a130" localSheetId="18" hidden="1">{"Offgrid",#N/A,FALSE,"OFFGRID";"Region",#N/A,FALSE,"REGION";"Offgrid -2",#N/A,FALSE,"OFFGRID";"WTP",#N/A,FALSE,"WTP";"WTP -2",#N/A,FALSE,"WTP";"Project",#N/A,FALSE,"PROJECT";"Summary -2",#N/A,FALSE,"SUMMARY"}</definedName>
    <definedName name="_Builtin155" hidden="1">#N/A</definedName>
    <definedName name="_Fill" localSheetId="10" hidden="1">#REF!</definedName>
    <definedName name="_Fill" localSheetId="9" hidden="1">#REF!</definedName>
    <definedName name="_Fill" localSheetId="14" hidden="1">#REF!</definedName>
    <definedName name="_Fill" localSheetId="28" hidden="1">#REF!</definedName>
    <definedName name="_Fill" localSheetId="27" hidden="1">#REF!</definedName>
    <definedName name="_Fill" localSheetId="13" hidden="1">#REF!</definedName>
    <definedName name="_Fill" localSheetId="30" hidden="1">#REF!</definedName>
    <definedName name="_Fill" localSheetId="15" hidden="1">#REF!</definedName>
    <definedName name="_Fill" localSheetId="12" hidden="1">#REF!</definedName>
    <definedName name="_Fill" localSheetId="29" hidden="1">#REF!</definedName>
    <definedName name="_Fill" localSheetId="18" hidden="1">#REF!</definedName>
    <definedName name="_Fill" localSheetId="22" hidden="1">#REF!</definedName>
    <definedName name="_Fill" localSheetId="19" hidden="1">#REF!</definedName>
    <definedName name="_xlnm._FilterDatabase" localSheetId="19" hidden="1">'Thuyết minh (đợt 1)'!$A$41:$Q$136</definedName>
    <definedName name="_Goi8" localSheetId="18" hidden="1">{"'Sheet1'!$L$16"}</definedName>
    <definedName name="_h1" localSheetId="18" hidden="1">{"'Sheet1'!$L$16"}</definedName>
    <definedName name="_hh3" localSheetId="18" hidden="1">{"'Sheet1'!$L$16"}</definedName>
    <definedName name="_hsm2">1.1289</definedName>
    <definedName name="_hu1" localSheetId="18" hidden="1">{"'Sheet1'!$L$16"}</definedName>
    <definedName name="_hu2" localSheetId="18" hidden="1">{"'Sheet1'!$L$16"}</definedName>
    <definedName name="_hu5" localSheetId="18" hidden="1">{"'Sheet1'!$L$16"}</definedName>
    <definedName name="_hu6" localSheetId="18" hidden="1">{"'Sheet1'!$L$16"}</definedName>
    <definedName name="_hu7" localSheetId="18" hidden="1">{"'Sheet1'!$L$16"}</definedName>
    <definedName name="_huy1" localSheetId="18" hidden="1">{"'Sheet1'!$L$16"}</definedName>
    <definedName name="_Key1" localSheetId="10" hidden="1">#REF!</definedName>
    <definedName name="_Key1" localSheetId="9" hidden="1">#REF!</definedName>
    <definedName name="_Key1" localSheetId="14" hidden="1">#REF!</definedName>
    <definedName name="_Key1" localSheetId="28" hidden="1">#REF!</definedName>
    <definedName name="_Key1" localSheetId="27" hidden="1">#REF!</definedName>
    <definedName name="_Key1" localSheetId="13" hidden="1">#REF!</definedName>
    <definedName name="_Key1" localSheetId="30" hidden="1">#REF!</definedName>
    <definedName name="_Key1" localSheetId="15" hidden="1">#REF!</definedName>
    <definedName name="_Key1" localSheetId="12" hidden="1">#REF!</definedName>
    <definedName name="_Key1" localSheetId="29" hidden="1">#REF!</definedName>
    <definedName name="_Key1" localSheetId="18" hidden="1">#REF!</definedName>
    <definedName name="_Key1" localSheetId="22" hidden="1">#REF!</definedName>
    <definedName name="_Key1" localSheetId="19" hidden="1">#REF!</definedName>
    <definedName name="_Key2" localSheetId="10" hidden="1">#REF!</definedName>
    <definedName name="_Key2" localSheetId="9" hidden="1">#REF!</definedName>
    <definedName name="_Key2" localSheetId="14" hidden="1">#REF!</definedName>
    <definedName name="_Key2" localSheetId="28" hidden="1">#REF!</definedName>
    <definedName name="_Key2" localSheetId="27" hidden="1">#REF!</definedName>
    <definedName name="_Key2" localSheetId="13" hidden="1">#REF!</definedName>
    <definedName name="_Key2" localSheetId="30" hidden="1">#REF!</definedName>
    <definedName name="_Key2" localSheetId="15" hidden="1">#REF!</definedName>
    <definedName name="_Key2" localSheetId="12" hidden="1">#REF!</definedName>
    <definedName name="_Key2" localSheetId="29" hidden="1">#REF!</definedName>
    <definedName name="_Key2" localSheetId="18" hidden="1">#REF!</definedName>
    <definedName name="_Key2" localSheetId="22" hidden="1">#REF!</definedName>
    <definedName name="_Key2" localSheetId="19" hidden="1">#REF!</definedName>
    <definedName name="_L6">NA()</definedName>
    <definedName name="_Lan1" localSheetId="18" hidden="1">{"'Sheet1'!$L$16"}</definedName>
    <definedName name="_LAN3" localSheetId="18" hidden="1">{"'Sheet1'!$L$16"}</definedName>
    <definedName name="_M36" localSheetId="18" hidden="1">{"'Sheet1'!$L$16"}</definedName>
    <definedName name="_Order1" hidden="1">255</definedName>
    <definedName name="_Order2" hidden="1">255</definedName>
    <definedName name="_PA3" localSheetId="18" hidden="1">{"'Sheet1'!$L$16"}</definedName>
    <definedName name="_Sort" localSheetId="10" hidden="1">#REF!</definedName>
    <definedName name="_Sort" localSheetId="9" hidden="1">#REF!</definedName>
    <definedName name="_Sort" localSheetId="14" hidden="1">#REF!</definedName>
    <definedName name="_Sort" localSheetId="28" hidden="1">#REF!</definedName>
    <definedName name="_Sort" localSheetId="27" hidden="1">#REF!</definedName>
    <definedName name="_Sort" localSheetId="13" hidden="1">#REF!</definedName>
    <definedName name="_Sort" localSheetId="30" hidden="1">#REF!</definedName>
    <definedName name="_Sort" localSheetId="15" hidden="1">#REF!</definedName>
    <definedName name="_Sort" localSheetId="12" hidden="1">#REF!</definedName>
    <definedName name="_Sort" localSheetId="29" hidden="1">#REF!</definedName>
    <definedName name="_Sort" localSheetId="18" hidden="1">#REF!</definedName>
    <definedName name="_Sort" localSheetId="22" hidden="1">#REF!</definedName>
    <definedName name="_Sort" localSheetId="19" hidden="1">#REF!</definedName>
    <definedName name="_T10" localSheetId="18" hidden="1">{"'Sheet1'!$L$16"}</definedName>
    <definedName name="_T12" localSheetId="18">{"Thuxm2.xls","Sheet1"}</definedName>
    <definedName name="_TB1" localSheetId="10">#REF!</definedName>
    <definedName name="_TB1" localSheetId="9">#REF!</definedName>
    <definedName name="_TB1" localSheetId="14">#REF!</definedName>
    <definedName name="_TB1" localSheetId="13">#REF!</definedName>
    <definedName name="_TB1" localSheetId="15">#REF!</definedName>
    <definedName name="_TB1" localSheetId="12">#REF!</definedName>
    <definedName name="_TB1" localSheetId="18">#REF!</definedName>
    <definedName name="_TB1" localSheetId="19">#REF!</definedName>
    <definedName name="_tt3" localSheetId="18" hidden="1">{"'Sheet1'!$L$16"}</definedName>
    <definedName name="aaaa" localSheetId="10" hidden="1">#REF!</definedName>
    <definedName name="aaaa" localSheetId="9" hidden="1">#REF!</definedName>
    <definedName name="aaaa" localSheetId="14" hidden="1">#REF!</definedName>
    <definedName name="aaaa" localSheetId="28" hidden="1">#REF!</definedName>
    <definedName name="aaaa" localSheetId="27" hidden="1">#REF!</definedName>
    <definedName name="aaaa" localSheetId="13" hidden="1">#REF!</definedName>
    <definedName name="aaaa" localSheetId="30" hidden="1">#REF!</definedName>
    <definedName name="aaaa" localSheetId="15" hidden="1">#REF!</definedName>
    <definedName name="aaaa" localSheetId="12" hidden="1">#REF!</definedName>
    <definedName name="aaaa" localSheetId="29" hidden="1">#REF!</definedName>
    <definedName name="aaaa" localSheetId="18" hidden="1">#REF!</definedName>
    <definedName name="aaaa" localSheetId="22" hidden="1">#REF!</definedName>
    <definedName name="aaaa" localSheetId="19" hidden="1">#REF!</definedName>
    <definedName name="AccessDatabase" hidden="1">"C:\My Documents\LeBinh\Xls\VP Cong ty\FORM.mdb"</definedName>
    <definedName name="afasfsagfas" localSheetId="18" hidden="1">{#N/A,#N/A,FALSE,"Chi tiÆt"}</definedName>
    <definedName name="anscount" hidden="1">1</definedName>
    <definedName name="Antoan" localSheetId="18" hidden="1">{"'Sheet1'!$L$16"}</definedName>
    <definedName name="ao">NA()</definedName>
    <definedName name="Arrival_rate">NA()</definedName>
    <definedName name="asasasss" localSheetId="10" hidden="1">#REF!</definedName>
    <definedName name="asasasss" localSheetId="9" hidden="1">#REF!</definedName>
    <definedName name="asasasss" localSheetId="14" hidden="1">#REF!</definedName>
    <definedName name="asasasss" localSheetId="28" hidden="1">#REF!</definedName>
    <definedName name="asasasss" localSheetId="27" hidden="1">#REF!</definedName>
    <definedName name="asasasss" localSheetId="13" hidden="1">#REF!</definedName>
    <definedName name="asasasss" localSheetId="30" hidden="1">#REF!</definedName>
    <definedName name="asasasss" localSheetId="15" hidden="1">#REF!</definedName>
    <definedName name="asasasss" localSheetId="12" hidden="1">#REF!</definedName>
    <definedName name="asasasss" localSheetId="29" hidden="1">#REF!</definedName>
    <definedName name="asasasss" localSheetId="18" hidden="1">#REF!</definedName>
    <definedName name="asasasss" localSheetId="22" hidden="1">#REF!</definedName>
    <definedName name="asasasss" localSheetId="19" hidden="1">#REF!</definedName>
    <definedName name="ASDFfg" localSheetId="18">{"Thuxm2.xls","Sheet1"}</definedName>
    <definedName name="asf" localSheetId="18" hidden="1">{"'Sheet1'!$L$16"}</definedName>
    <definedName name="asfasdfasffas" localSheetId="10" hidden="1">#REF!</definedName>
    <definedName name="asfasdfasffas" localSheetId="9" hidden="1">#REF!</definedName>
    <definedName name="asfasdfasffas" localSheetId="14" hidden="1">#REF!</definedName>
    <definedName name="asfasdfasffas" localSheetId="28" hidden="1">#REF!</definedName>
    <definedName name="asfasdfasffas" localSheetId="27" hidden="1">#REF!</definedName>
    <definedName name="asfasdfasffas" localSheetId="13" hidden="1">#REF!</definedName>
    <definedName name="asfasdfasffas" localSheetId="30" hidden="1">#REF!</definedName>
    <definedName name="asfasdfasffas" localSheetId="15" hidden="1">#REF!</definedName>
    <definedName name="asfasdfasffas" localSheetId="12" hidden="1">#REF!</definedName>
    <definedName name="asfasdfasffas" localSheetId="29" hidden="1">#REF!</definedName>
    <definedName name="asfasdfasffas" localSheetId="18" hidden="1">#REF!</definedName>
    <definedName name="asfasdfasffas" localSheetId="22" hidden="1">#REF!</definedName>
    <definedName name="asfasdfasffas" localSheetId="19" hidden="1">#REF!</definedName>
    <definedName name="assaasassa" localSheetId="10" hidden="1">#REF!</definedName>
    <definedName name="assaasassa" localSheetId="9" hidden="1">#REF!</definedName>
    <definedName name="assaasassa" localSheetId="14" hidden="1">#REF!</definedName>
    <definedName name="assaasassa" localSheetId="28" hidden="1">#REF!</definedName>
    <definedName name="assaasassa" localSheetId="27" hidden="1">#REF!</definedName>
    <definedName name="assaasassa" localSheetId="13" hidden="1">#REF!</definedName>
    <definedName name="assaasassa" localSheetId="30" hidden="1">#REF!</definedName>
    <definedName name="assaasassa" localSheetId="15" hidden="1">#REF!</definedName>
    <definedName name="assaasassa" localSheetId="12" hidden="1">#REF!</definedName>
    <definedName name="assaasassa" localSheetId="29" hidden="1">#REF!</definedName>
    <definedName name="assaasassa" localSheetId="18" hidden="1">#REF!</definedName>
    <definedName name="assaasassa" localSheetId="22" hidden="1">#REF!</definedName>
    <definedName name="assaasassa" localSheetId="19" hidden="1">#REF!</definedName>
    <definedName name="ATGT" localSheetId="18" hidden="1">{"'Sheet1'!$L$16"}</definedName>
    <definedName name="BAOTHIEN" localSheetId="18" hidden="1">{#N/A,#N/A,FALSE,"Chi tiÆt"}</definedName>
    <definedName name="bb" localSheetId="18" hidden="1">{"'Sheet1'!$L$16"}</definedName>
    <definedName name="beta">20</definedName>
    <definedName name="BetongM150">'[1]chiet tinh'!$B$18:$D$23,'[1]chiet tinh'!$F$18:$F$23</definedName>
    <definedName name="BetongM200">'[1]chiet tinh'!$B$35:$D$39,'[1]chiet tinh'!$F$35:$F$39</definedName>
    <definedName name="BetongM50">'[1]chiet tinh'!$B$6:$D$8,'[1]chiet tinh'!$F$6:$F$8</definedName>
    <definedName name="BocXep" localSheetId="10">#REF!</definedName>
    <definedName name="BocXep" localSheetId="9">#REF!</definedName>
    <definedName name="BocXep" localSheetId="14">#REF!</definedName>
    <definedName name="BocXep" localSheetId="13">#REF!</definedName>
    <definedName name="BocXep" localSheetId="15">#REF!</definedName>
    <definedName name="BocXep" localSheetId="12">#REF!</definedName>
    <definedName name="BocXep" localSheetId="18">#REF!</definedName>
    <definedName name="BocXep" localSheetId="19">#REF!</definedName>
    <definedName name="BTH" localSheetId="18" hidden="1">{"'Sheet1'!$L$16"}</definedName>
    <definedName name="bùc" localSheetId="18">{"Book1","Dt tonghop.xls"}</definedName>
    <definedName name="BuGia" localSheetId="10">#REF!</definedName>
    <definedName name="BuGia" localSheetId="9">#REF!</definedName>
    <definedName name="BuGia" localSheetId="14">#REF!</definedName>
    <definedName name="BuGia" localSheetId="13">#REF!</definedName>
    <definedName name="BuGia" localSheetId="15">#REF!</definedName>
    <definedName name="BuGia" localSheetId="12">#REF!</definedName>
    <definedName name="BuGia" localSheetId="18">#REF!</definedName>
    <definedName name="BuGia" localSheetId="19">#REF!</definedName>
    <definedName name="Button_1">"FORM_Bao_cao_cong_no_List"</definedName>
    <definedName name="camay">[2]maythicong!$B$7:$I$154</definedName>
    <definedName name="Capcongtrinh" localSheetId="10">[3]HESO!#REF!</definedName>
    <definedName name="Capcongtrinh" localSheetId="9">[3]HESO!#REF!</definedName>
    <definedName name="Capcongtrinh" localSheetId="14">[3]HESO!#REF!</definedName>
    <definedName name="Capcongtrinh" localSheetId="13">[3]HESO!#REF!</definedName>
    <definedName name="Capcongtrinh" localSheetId="15">[3]HESO!#REF!</definedName>
    <definedName name="Capcongtrinh" localSheetId="12">[3]HESO!#REF!</definedName>
    <definedName name="Capcongtrinh" localSheetId="18">[3]HESO!#REF!</definedName>
    <definedName name="Capcongtrinh" localSheetId="19">[3]HESO!#REF!</definedName>
    <definedName name="cat">NA()</definedName>
    <definedName name="cbnnbn" localSheetId="18" hidden="1">{"'Sheet1'!$L$16"}</definedName>
    <definedName name="cdgiaco">NA()</definedName>
    <definedName name="cdt">[4]INFOR!$C$4</definedName>
    <definedName name="cdt2.1">[4]INFOR!$B$12</definedName>
    <definedName name="changecolor" localSheetId="10">[5]!changecolor</definedName>
    <definedName name="changecolor" localSheetId="9">[5]!changecolor</definedName>
    <definedName name="changecolor" localSheetId="14">[5]!changecolor</definedName>
    <definedName name="changecolor" localSheetId="28">[5]!changecolor</definedName>
    <definedName name="changecolor" localSheetId="27">[5]!changecolor</definedName>
    <definedName name="changecolor" localSheetId="13">[5]!changecolor</definedName>
    <definedName name="changecolor" localSheetId="30">[5]!changecolor</definedName>
    <definedName name="changecolor" localSheetId="15">[5]!changecolor</definedName>
    <definedName name="changecolor" localSheetId="12">[5]!changecolor</definedName>
    <definedName name="changecolor" localSheetId="29">[5]!changecolor</definedName>
    <definedName name="changecolor" localSheetId="18">[5]!changecolor</definedName>
    <definedName name="changecolor" localSheetId="22">[5]!changecolor</definedName>
    <definedName name="changecolor" localSheetId="19">[5]!changecolor</definedName>
    <definedName name="chop">ROUND('[6]Du toan'!XEZ1*('[6]Du toan'!XFA1+'[6]Du toan'!XFB1)/2*'[6]Du toan'!XFC1,2)</definedName>
    <definedName name="chung">66</definedName>
    <definedName name="CLVC3">0.1</definedName>
    <definedName name="cngiaco">NA()</definedName>
    <definedName name="Code" localSheetId="10" hidden="1">#REF!</definedName>
    <definedName name="Code" localSheetId="9" hidden="1">#REF!</definedName>
    <definedName name="Code" localSheetId="14" hidden="1">#REF!</definedName>
    <definedName name="Code" localSheetId="28" hidden="1">#REF!</definedName>
    <definedName name="Code" localSheetId="27" hidden="1">#REF!</definedName>
    <definedName name="Code" localSheetId="13" hidden="1">#REF!</definedName>
    <definedName name="Code" localSheetId="30" hidden="1">#REF!</definedName>
    <definedName name="Code" localSheetId="15" hidden="1">#REF!</definedName>
    <definedName name="Code" localSheetId="12" hidden="1">#REF!</definedName>
    <definedName name="Code" localSheetId="29" hidden="1">#REF!</definedName>
    <definedName name="Code" localSheetId="18" hidden="1">#REF!</definedName>
    <definedName name="Code" localSheetId="22" hidden="1">#REF!</definedName>
    <definedName name="Code" localSheetId="19" hidden="1">#REF!</definedName>
    <definedName name="color_CANCEL" localSheetId="10">[5]!color_CANCEL</definedName>
    <definedName name="color_CANCEL" localSheetId="9">[5]!color_CANCEL</definedName>
    <definedName name="color_CANCEL" localSheetId="14">[5]!color_CANCEL</definedName>
    <definedName name="color_CANCEL" localSheetId="28">[5]!color_CANCEL</definedName>
    <definedName name="color_CANCEL" localSheetId="27">[5]!color_CANCEL</definedName>
    <definedName name="color_CANCEL" localSheetId="13">[5]!color_CANCEL</definedName>
    <definedName name="color_CANCEL" localSheetId="30">[5]!color_CANCEL</definedName>
    <definedName name="color_CANCEL" localSheetId="15">[5]!color_CANCEL</definedName>
    <definedName name="color_CANCEL" localSheetId="12">[5]!color_CANCEL</definedName>
    <definedName name="color_CANCEL" localSheetId="29">[5]!color_CANCEL</definedName>
    <definedName name="color_CANCEL" localSheetId="18">[5]!color_CANCEL</definedName>
    <definedName name="color_CANCEL" localSheetId="22">[5]!color_CANCEL</definedName>
    <definedName name="color_CANCEL" localSheetId="19">[5]!color_CANCEL</definedName>
    <definedName name="color_DEFAULT" localSheetId="10">[5]!color_DEFAULT</definedName>
    <definedName name="color_DEFAULT" localSheetId="9">[5]!color_DEFAULT</definedName>
    <definedName name="color_DEFAULT" localSheetId="14">[5]!color_DEFAULT</definedName>
    <definedName name="color_DEFAULT" localSheetId="28">[5]!color_DEFAULT</definedName>
    <definedName name="color_DEFAULT" localSheetId="27">[5]!color_DEFAULT</definedName>
    <definedName name="color_DEFAULT" localSheetId="13">[5]!color_DEFAULT</definedName>
    <definedName name="color_DEFAULT" localSheetId="30">[5]!color_DEFAULT</definedName>
    <definedName name="color_DEFAULT" localSheetId="15">[5]!color_DEFAULT</definedName>
    <definedName name="color_DEFAULT" localSheetId="12">[5]!color_DEFAULT</definedName>
    <definedName name="color_DEFAULT" localSheetId="29">[5]!color_DEFAULT</definedName>
    <definedName name="color_DEFAULT" localSheetId="18">[5]!color_DEFAULT</definedName>
    <definedName name="color_DEFAULT" localSheetId="22">[5]!color_DEFAULT</definedName>
    <definedName name="color_DEFAULT" localSheetId="19">[5]!color_DEFAULT</definedName>
    <definedName name="color_OK" localSheetId="10">[5]!color_OK</definedName>
    <definedName name="color_OK" localSheetId="9">[5]!color_OK</definedName>
    <definedName name="color_OK" localSheetId="14">[5]!color_OK</definedName>
    <definedName name="color_OK" localSheetId="28">[5]!color_OK</definedName>
    <definedName name="color_OK" localSheetId="27">[5]!color_OK</definedName>
    <definedName name="color_OK" localSheetId="13">[5]!color_OK</definedName>
    <definedName name="color_OK" localSheetId="30">[5]!color_OK</definedName>
    <definedName name="color_OK" localSheetId="15">[5]!color_OK</definedName>
    <definedName name="color_OK" localSheetId="12">[5]!color_OK</definedName>
    <definedName name="color_OK" localSheetId="29">[5]!color_OK</definedName>
    <definedName name="color_OK" localSheetId="18">[5]!color_OK</definedName>
    <definedName name="color_OK" localSheetId="22">[5]!color_OK</definedName>
    <definedName name="color_OK" localSheetId="19">[5]!color_OK</definedName>
    <definedName name="colorlist_change" localSheetId="10">[5]!colorlist_change</definedName>
    <definedName name="colorlist_change" localSheetId="9">[5]!colorlist_change</definedName>
    <definedName name="colorlist_change" localSheetId="14">[5]!colorlist_change</definedName>
    <definedName name="colorlist_change" localSheetId="28">[5]!colorlist_change</definedName>
    <definedName name="colorlist_change" localSheetId="27">[5]!colorlist_change</definedName>
    <definedName name="colorlist_change" localSheetId="13">[5]!colorlist_change</definedName>
    <definedName name="colorlist_change" localSheetId="30">[5]!colorlist_change</definedName>
    <definedName name="colorlist_change" localSheetId="15">[5]!colorlist_change</definedName>
    <definedName name="colorlist_change" localSheetId="12">[5]!colorlist_change</definedName>
    <definedName name="colorlist_change" localSheetId="29">[5]!colorlist_change</definedName>
    <definedName name="colorlist_change" localSheetId="18">[5]!colorlist_change</definedName>
    <definedName name="colorlist_change" localSheetId="22">[5]!colorlist_change</definedName>
    <definedName name="colorlist_change" localSheetId="19">[5]!colorlist_change</definedName>
    <definedName name="cplhsmt">[7]!cplhsmt</definedName>
    <definedName name="cptdhsmt">[7]!cptdhsmt</definedName>
    <definedName name="cptdtdt">[7]!cptdtdt</definedName>
    <definedName name="cptdtkkt">[7]!cptdtkkt</definedName>
    <definedName name="CT_TKe" localSheetId="18" hidden="1">{#N/A,#N/A,FALSE,"Chi tiÆt"}</definedName>
    <definedName name="CTCT1" localSheetId="18" hidden="1">{"'Sheet1'!$L$16"}</definedName>
    <definedName name="CTCT2" localSheetId="18" hidden="1">{"'Sheet1'!$L$16"}</definedName>
    <definedName name="cudua">NA()</definedName>
    <definedName name="cudung">NA()</definedName>
    <definedName name="Culyduong">'[8]CUOC VAN CHUYEN'!$A$5:$A$104</definedName>
    <definedName name="Culysong">'[8]CUOC VAN CHUYEN'!$G$5:$G$104</definedName>
    <definedName name="cung" localSheetId="18" hidden="1">{"'Sheet1'!$L$16"}</definedName>
    <definedName name="cungang">NA()</definedName>
    <definedName name="cvch">[4]INFOR!$G$24</definedName>
    <definedName name="cvgs">[4]INFOR!$G$13</definedName>
    <definedName name="cvgsv">[4]INFOR!$G$14</definedName>
    <definedName name="cvtc">[4]INFOR!$G$21</definedName>
    <definedName name="da">[4]INFOR!$C$1</definedName>
    <definedName name="dai">NA()</definedName>
    <definedName name="dam">78000</definedName>
    <definedName name="data1" localSheetId="10" hidden="1">#REF!</definedName>
    <definedName name="data1" localSheetId="9" hidden="1">#REF!</definedName>
    <definedName name="data1" localSheetId="14" hidden="1">#REF!</definedName>
    <definedName name="data1" localSheetId="28" hidden="1">#REF!</definedName>
    <definedName name="data1" localSheetId="27" hidden="1">#REF!</definedName>
    <definedName name="data1" localSheetId="13" hidden="1">#REF!</definedName>
    <definedName name="data1" localSheetId="30" hidden="1">#REF!</definedName>
    <definedName name="data1" localSheetId="15" hidden="1">#REF!</definedName>
    <definedName name="data1" localSheetId="12" hidden="1">#REF!</definedName>
    <definedName name="data1" localSheetId="29" hidden="1">#REF!</definedName>
    <definedName name="data1" localSheetId="18" hidden="1">#REF!</definedName>
    <definedName name="data1" localSheetId="22" hidden="1">#REF!</definedName>
    <definedName name="data1" localSheetId="19" hidden="1">#REF!</definedName>
    <definedName name="data2" localSheetId="10" hidden="1">#REF!</definedName>
    <definedName name="data2" localSheetId="9" hidden="1">#REF!</definedName>
    <definedName name="data2" localSheetId="14" hidden="1">#REF!</definedName>
    <definedName name="data2" localSheetId="28" hidden="1">#REF!</definedName>
    <definedName name="data2" localSheetId="27" hidden="1">#REF!</definedName>
    <definedName name="data2" localSheetId="13" hidden="1">#REF!</definedName>
    <definedName name="data2" localSheetId="30" hidden="1">#REF!</definedName>
    <definedName name="data2" localSheetId="15" hidden="1">#REF!</definedName>
    <definedName name="data2" localSheetId="12" hidden="1">#REF!</definedName>
    <definedName name="data2" localSheetId="29" hidden="1">#REF!</definedName>
    <definedName name="data2" localSheetId="18" hidden="1">#REF!</definedName>
    <definedName name="data2" localSheetId="22" hidden="1">#REF!</definedName>
    <definedName name="data2" localSheetId="19" hidden="1">#REF!</definedName>
    <definedName name="data3" localSheetId="10" hidden="1">#REF!</definedName>
    <definedName name="data3" localSheetId="9" hidden="1">#REF!</definedName>
    <definedName name="data3" localSheetId="14" hidden="1">#REF!</definedName>
    <definedName name="data3" localSheetId="28" hidden="1">#REF!</definedName>
    <definedName name="data3" localSheetId="27" hidden="1">#REF!</definedName>
    <definedName name="data3" localSheetId="13" hidden="1">#REF!</definedName>
    <definedName name="data3" localSheetId="30" hidden="1">#REF!</definedName>
    <definedName name="data3" localSheetId="15" hidden="1">#REF!</definedName>
    <definedName name="data3" localSheetId="12" hidden="1">#REF!</definedName>
    <definedName name="data3" localSheetId="29" hidden="1">#REF!</definedName>
    <definedName name="data3" localSheetId="18" hidden="1">#REF!</definedName>
    <definedName name="data3" localSheetId="22" hidden="1">#REF!</definedName>
    <definedName name="data3" localSheetId="19" hidden="1">#REF!</definedName>
    <definedName name="DataFilter" localSheetId="10">[9]!DataFilter</definedName>
    <definedName name="DataFilter" localSheetId="9">[9]!DataFilter</definedName>
    <definedName name="DataFilter" localSheetId="14">[9]!DataFilter</definedName>
    <definedName name="DataFilter" localSheetId="28">[9]!DataFilter</definedName>
    <definedName name="DataFilter" localSheetId="27">[9]!DataFilter</definedName>
    <definedName name="DataFilter" localSheetId="13">[9]!DataFilter</definedName>
    <definedName name="DataFilter" localSheetId="30">[9]!DataFilter</definedName>
    <definedName name="DataFilter" localSheetId="15">[9]!DataFilter</definedName>
    <definedName name="DataFilter" localSheetId="12">[9]!DataFilter</definedName>
    <definedName name="DataFilter" localSheetId="29">[9]!DataFilter</definedName>
    <definedName name="DataFilter" localSheetId="18">[9]!DataFilter</definedName>
    <definedName name="DataFilter" localSheetId="22">[9]!DataFilter</definedName>
    <definedName name="DataFilter" localSheetId="19">[9]!DataFilter</definedName>
    <definedName name="DataSort" localSheetId="10">[9]!DataSort</definedName>
    <definedName name="DataSort" localSheetId="9">[9]!DataSort</definedName>
    <definedName name="DataSort" localSheetId="14">[9]!DataSort</definedName>
    <definedName name="DataSort" localSheetId="28">[9]!DataSort</definedName>
    <definedName name="DataSort" localSheetId="27">[9]!DataSort</definedName>
    <definedName name="DataSort" localSheetId="13">[9]!DataSort</definedName>
    <definedName name="DataSort" localSheetId="30">[9]!DataSort</definedName>
    <definedName name="DataSort" localSheetId="15">[9]!DataSort</definedName>
    <definedName name="DataSort" localSheetId="12">[9]!DataSort</definedName>
    <definedName name="DataSort" localSheetId="29">[9]!DataSort</definedName>
    <definedName name="DataSort" localSheetId="18">[9]!DataSort</definedName>
    <definedName name="DataSort" localSheetId="22">[9]!DataSort</definedName>
    <definedName name="DataSort" localSheetId="19">[9]!DataSort</definedName>
    <definedName name="dddvgs">[4]INFOR!$B$31</definedName>
    <definedName name="dddvtc">[4]INFOR!$B$32</definedName>
    <definedName name="ddtc2.2">[4]INFOR!$B$15</definedName>
    <definedName name="ddxd">[4]INFOR!$C$6</definedName>
    <definedName name="dfh" localSheetId="18" hidden="1">{"'Sheet1'!$L$16"}</definedName>
    <definedName name="DFSDF" localSheetId="18" hidden="1">{"'Sheet1'!$L$16"}</definedName>
    <definedName name="dfsfsd" localSheetId="18" hidden="1">{"'Sheet1'!$L$16"}</definedName>
    <definedName name="DGIA1">[10]DT_THAU!$M$19</definedName>
    <definedName name="DGIA10">[10]DT_THAU!$M$199</definedName>
    <definedName name="DGIA11" localSheetId="22">[11]DT_THAU!$M$218</definedName>
    <definedName name="DGIA12" localSheetId="22">[11]DT_THAU!$M$247</definedName>
    <definedName name="DGIA13" localSheetId="22">[11]DT_THAU!$M$267</definedName>
    <definedName name="DGIA14" localSheetId="22">[11]DT_THAU!$M$283</definedName>
    <definedName name="DGIA15" localSheetId="22">[11]DT_THAU!$M$305</definedName>
    <definedName name="DGIA16" localSheetId="22">[11]DT_THAU!$M$324</definedName>
    <definedName name="DGIA168">'[12]DT_THAU(BS)'!$M$3603</definedName>
    <definedName name="DGIA169">'[12]DT_THAU(BS)'!$M$3630</definedName>
    <definedName name="DGIA17" localSheetId="22">[11]DT_THAU!$M$353</definedName>
    <definedName name="DGIA170">'[12]DT_THAU(BS)'!$M$3656</definedName>
    <definedName name="DGIA171">'[12]DT_THAU(BS)'!$M$3677</definedName>
    <definedName name="DGIA172">'[12]DT_THAU(BS)'!$M$3704</definedName>
    <definedName name="DGIA173">'[12]DT_THAU(BS)'!$M$3724</definedName>
    <definedName name="DGIA174">'[12]DT_THAU(BS)'!$M$3752</definedName>
    <definedName name="DGIA175">'[12]DT_THAU(BS)'!$M$3769</definedName>
    <definedName name="DGIA176">'[12]DT_THAU(BS)'!$M$3792</definedName>
    <definedName name="DGIA177">'[12]DT_THAU(BS)'!$M$3814</definedName>
    <definedName name="DGIA178">'[12]DT_THAU(BS)'!$M$3831</definedName>
    <definedName name="DGIA179">'[12]DT_THAU(BS)'!$M$3848</definedName>
    <definedName name="DGIA18" localSheetId="22">[11]DT_THAU!$M$369</definedName>
    <definedName name="DGIA180">'[12]DT_THAU(BS)'!$M$3865</definedName>
    <definedName name="DGIA181">'[12]DT_THAU(BS)'!$M$3882</definedName>
    <definedName name="DGIA182">'[12]DT_THAU(BS)'!$M$3901</definedName>
    <definedName name="DGIA183">'[12]DT_THAU(BS)'!$M$3921</definedName>
    <definedName name="DGIA184">'[12]DT_THAU(BS)'!$M$3942</definedName>
    <definedName name="DGIA185">'[12]DT_THAU(BS)'!$M$3959</definedName>
    <definedName name="DGIA186">'[12]DT_THAU(BS)'!$M$3976</definedName>
    <definedName name="DGIA187">'[12]DT_THAU(BS)'!$M$4002</definedName>
    <definedName name="DGIA188">'[12]DT_THAU(BS)'!$M$4029</definedName>
    <definedName name="DGIA189">'[12]DT_THAU(BS)'!$M$4049</definedName>
    <definedName name="DGIA19" localSheetId="22">[11]DT_THAU!$M$394</definedName>
    <definedName name="DGIA190">'[12]DT_THAU(BS)'!$M$4070</definedName>
    <definedName name="DGIA191">'[12]DT_THAU(BS)'!$M$4087</definedName>
    <definedName name="DGIA192">'[12]DT_THAU(BS)'!$M$4104</definedName>
    <definedName name="DGIA193">'[12]DT_THAU(BS)'!$M$4129</definedName>
    <definedName name="DGIA194">'[12]DT_THAU(BS)'!$M$4154</definedName>
    <definedName name="DGIA195">'[12]DT_THAU(BS)'!$M$4176</definedName>
    <definedName name="DGIA196">'[12]DT_THAU(BS)'!$M$4198</definedName>
    <definedName name="DGIA197">'[12]DT_THAU(BS)'!$M$4215</definedName>
    <definedName name="DGIA198">'[12]DT_THAU(BS)'!$M$4232</definedName>
    <definedName name="DGIA199">'[12]DT_THAU(BS)'!$M$4249</definedName>
    <definedName name="DGIA2" localSheetId="22">[11]DT_THAU!$M$40</definedName>
    <definedName name="DGIA20" localSheetId="22">[11]DT_THAU!$M$416</definedName>
    <definedName name="DGIA200">'[12]DT_THAU(BS)'!$M$4272</definedName>
    <definedName name="DGIA201">'[12]DT_THAU(BS)'!$M$4295</definedName>
    <definedName name="DGIA202">'[12]DT_THAU(BS)'!$M$4312</definedName>
    <definedName name="DGIA203">'[12]DT_THAU(BS)'!$M$4340</definedName>
    <definedName name="DGIA204">'[12]DT_THAU(BS)'!$M$4367</definedName>
    <definedName name="DGIA205">'[12]DT_THAU(BS)'!$M$4384</definedName>
    <definedName name="DGIA206">'[12]DT_THAU(BS)'!$M$4406</definedName>
    <definedName name="DGIA21" localSheetId="22">[11]DT_THAU!$M$437</definedName>
    <definedName name="DGIA22" localSheetId="22">[11]DT_THAU!$M$453</definedName>
    <definedName name="DGIA23" localSheetId="22">[11]DT_THAU!$M$469</definedName>
    <definedName name="DGIA24" localSheetId="22">[11]DT_THAU!$M$489</definedName>
    <definedName name="DGIA25" localSheetId="22">[11]DT_THAU!$M$505</definedName>
    <definedName name="DGIA26" localSheetId="22">[11]DT_THAU!$M$521</definedName>
    <definedName name="DGIA27" localSheetId="22">[11]DT_THAU!$M$547</definedName>
    <definedName name="DGIA28" localSheetId="22">[11]DT_THAU!$M$571</definedName>
    <definedName name="DGIA29" localSheetId="22">[11]DT_THAU!$M$589</definedName>
    <definedName name="DGIA3" localSheetId="22">[11]DT_THAU!$M$56</definedName>
    <definedName name="DGIA30" localSheetId="22">[11]DT_THAU!$M$605</definedName>
    <definedName name="DGIA31" localSheetId="22">[11]DT_THAU!$M$621</definedName>
    <definedName name="DGIA32" localSheetId="22">[11]DT_THAU!$M$646</definedName>
    <definedName name="DGIA33" localSheetId="22">[11]DT_THAU!$M$668</definedName>
    <definedName name="DGIA34" localSheetId="22">[11]DT_THAU!$M$684</definedName>
    <definedName name="DGIA35" localSheetId="22">[11]DT_THAU!$M$705</definedName>
    <definedName name="DGIA36" localSheetId="22">[11]DT_THAU!$M$721</definedName>
    <definedName name="DGIA37" localSheetId="22">[11]DT_THAU!$M$741</definedName>
    <definedName name="DGIA38" localSheetId="22">[11]DT_THAU!$M$760</definedName>
    <definedName name="DGIA39" localSheetId="22">[11]DT_THAU!$M$779</definedName>
    <definedName name="DGIA4" localSheetId="22">[11]DT_THAU!$M$76</definedName>
    <definedName name="DGIA40" localSheetId="22">[11]DT_THAU!$M$799</definedName>
    <definedName name="DGIA41" localSheetId="22">[11]DT_THAU!$M$815</definedName>
    <definedName name="DGIA42" localSheetId="22">[11]DT_THAU!$M$837</definedName>
    <definedName name="DGIA43" localSheetId="22">[11]DT_THAU!$M$863</definedName>
    <definedName name="DGIA44" localSheetId="22">[11]DT_THAU!$M$883</definedName>
    <definedName name="DGIA45" localSheetId="22">[11]DT_THAU!$M$902</definedName>
    <definedName name="DGIA46" localSheetId="22">[11]DT_THAU!$M$931</definedName>
    <definedName name="DGIA47" localSheetId="22">[11]DT_THAU!$M$951</definedName>
    <definedName name="DGIA48" localSheetId="22">[11]DT_THAU!$M$967</definedName>
    <definedName name="DGIA49" localSheetId="22">[11]DT_THAU!$M$989</definedName>
    <definedName name="DGIA5" localSheetId="22">[11]DT_THAU!$M$95</definedName>
    <definedName name="DGIA50" localSheetId="22">[11]DT_THAU!$M$1008</definedName>
    <definedName name="DGIA51" localSheetId="22">[11]DT_THAU!$M$1037</definedName>
    <definedName name="DGIA52" localSheetId="22">[11]DT_THAU!$M$1053</definedName>
    <definedName name="DGIA53" localSheetId="22">[11]DT_THAU!$M$1078</definedName>
    <definedName name="DGIA54" localSheetId="22">[11]DT_THAU!$M$1100</definedName>
    <definedName name="DGIA55" localSheetId="22">[11]DT_THAU!$M$1121</definedName>
    <definedName name="DGIA56" localSheetId="22">[11]DT_THAU!$M$1137</definedName>
    <definedName name="DGIA57" localSheetId="22">[11]DT_THAU!$M$1157</definedName>
    <definedName name="DGIA58" localSheetId="22">[11]DT_THAU!$M$1173</definedName>
    <definedName name="DGIA59" localSheetId="22">[11]DT_THAU!$M$1189</definedName>
    <definedName name="DGIA6" localSheetId="22">[11]DT_THAU!$M$115</definedName>
    <definedName name="DGIA60" localSheetId="22">[11]DT_THAU!$M$1215</definedName>
    <definedName name="DGIA61" localSheetId="22">[11]DT_THAU!$M$1239</definedName>
    <definedName name="DGIA62" localSheetId="22">[11]DT_THAU!$M$1257</definedName>
    <definedName name="DGIA63" localSheetId="22">[11]DT_THAU!$M$1273</definedName>
    <definedName name="DGIA64" localSheetId="22">[11]DT_THAU!$M$1289</definedName>
    <definedName name="DGIA65" localSheetId="22">[11]DT_THAU!$M$1314</definedName>
    <definedName name="DGIA66" localSheetId="22">[11]DT_THAU!$M$1336</definedName>
    <definedName name="DGIA7" localSheetId="22">[11]DT_THAU!$M$131</definedName>
    <definedName name="DGIA8" localSheetId="22">[11]DT_THAU!$M$153</definedName>
    <definedName name="DGIA9" localSheetId="22">[11]DT_THAU!$M$179</definedName>
    <definedName name="Discount" localSheetId="10" hidden="1">#REF!</definedName>
    <definedName name="Discount" localSheetId="9" hidden="1">#REF!</definedName>
    <definedName name="Discount" localSheetId="14" hidden="1">#REF!</definedName>
    <definedName name="Discount" localSheetId="28" hidden="1">#REF!</definedName>
    <definedName name="Discount" localSheetId="27" hidden="1">#REF!</definedName>
    <definedName name="Discount" localSheetId="13" hidden="1">#REF!</definedName>
    <definedName name="Discount" localSheetId="30" hidden="1">#REF!</definedName>
    <definedName name="Discount" localSheetId="15" hidden="1">#REF!</definedName>
    <definedName name="Discount" localSheetId="12" hidden="1">#REF!</definedName>
    <definedName name="Discount" localSheetId="29" hidden="1">#REF!</definedName>
    <definedName name="Discount" localSheetId="18" hidden="1">#REF!</definedName>
    <definedName name="Discount" localSheetId="22" hidden="1">#REF!</definedName>
    <definedName name="Discount" localSheetId="19" hidden="1">#REF!</definedName>
    <definedName name="display_area_2" localSheetId="10" hidden="1">#REF!</definedName>
    <definedName name="display_area_2" localSheetId="9" hidden="1">#REF!</definedName>
    <definedName name="display_area_2" localSheetId="14" hidden="1">#REF!</definedName>
    <definedName name="display_area_2" localSheetId="28" hidden="1">#REF!</definedName>
    <definedName name="display_area_2" localSheetId="27" hidden="1">#REF!</definedName>
    <definedName name="display_area_2" localSheetId="13" hidden="1">#REF!</definedName>
    <definedName name="display_area_2" localSheetId="30" hidden="1">#REF!</definedName>
    <definedName name="display_area_2" localSheetId="15" hidden="1">#REF!</definedName>
    <definedName name="display_area_2" localSheetId="12" hidden="1">#REF!</definedName>
    <definedName name="display_area_2" localSheetId="29" hidden="1">#REF!</definedName>
    <definedName name="display_area_2" localSheetId="18" hidden="1">#REF!</definedName>
    <definedName name="display_area_2" localSheetId="22" hidden="1">#REF!</definedName>
    <definedName name="display_area_2" localSheetId="19" hidden="1">#REF!</definedName>
    <definedName name="Document_array" localSheetId="18">{"Thuxm2.xls","Sheet1"}</definedName>
    <definedName name="dsgs" localSheetId="18" hidden="1">{"'Sheet1'!$L$16"}</definedName>
    <definedName name="DsNhom">'[13]Bang KL'!$G$6:$G$181</definedName>
    <definedName name="DSTD_Clear">'[14]DE quai (3 Cô) (2)'!DSTD_Clear</definedName>
    <definedName name="Duongnaco" localSheetId="18" hidden="1">{"'Sheet1'!$L$16"}</definedName>
    <definedName name="Dutoan2001">NA()</definedName>
    <definedName name="DV_ChungChiKSDG">'[15]Đầu vào'!$B$46</definedName>
    <definedName name="ef">ROUNDUP([6]Quantity!XEZ1*[6]Quantity!XFA1, 1)</definedName>
    <definedName name="efg">ROUNDUP([6]Quantity!XEZ1*[6]Quantity!XFA1*[6]Quantity!XFB1,1)</definedName>
    <definedName name="efgh">ROUNDUP([6]Quantity!XEZ1*[6]Quantity!XFA1*[6]Quantity!XFB1*[6]Quantity!XFC1,1)</definedName>
    <definedName name="efghi">ROUNDUP([6]Quantity!XEZ1*[6]Quantity!XFA1*[6]Quantity!XFB1*[6]Quantity!XFC1*[6]Quantity!XFD1,1)</definedName>
    <definedName name="efh">ROUNDUP([6]Quantity!XEZ1*[6]Quantity!XFA1*[6]Quantity!XFC1,1)</definedName>
    <definedName name="Excel_BuiltIn_Print_Area">NA()</definedName>
    <definedName name="Excel_BuiltIn_Print_Titles">NA()</definedName>
    <definedName name="exf">ROUNDUP([6]Keothep!XEZ1*[6]Keothep!XFA1,0)</definedName>
    <definedName name="exfxg">ROUNDUP([6]Keothep!XEZ1*[6]Keothep!XFA1*[6]Keothep!XFB1, 1)</definedName>
    <definedName name="F">[16]CD2000!$D$3,[16]CD2000!$D$1:$D$65536</definedName>
    <definedName name="fáaafafaf" localSheetId="18" hidden="1">{"'Sheet1'!$L$16"}</definedName>
    <definedName name="fasfaga" localSheetId="18" hidden="1">{"'Sheet1'!$L$16"}</definedName>
    <definedName name="fbsdggdsf" localSheetId="18">{"DZ-TDTB2.XLS","Dcksat.xls"}</definedName>
    <definedName name="FCode" localSheetId="10" hidden="1">#REF!</definedName>
    <definedName name="FCode" localSheetId="9" hidden="1">#REF!</definedName>
    <definedName name="FCode" localSheetId="14" hidden="1">#REF!</definedName>
    <definedName name="FCode" localSheetId="28" hidden="1">#REF!</definedName>
    <definedName name="FCode" localSheetId="27" hidden="1">#REF!</definedName>
    <definedName name="FCode" localSheetId="13" hidden="1">#REF!</definedName>
    <definedName name="FCode" localSheetId="30" hidden="1">#REF!</definedName>
    <definedName name="FCode" localSheetId="15" hidden="1">#REF!</definedName>
    <definedName name="FCode" localSheetId="12" hidden="1">#REF!</definedName>
    <definedName name="FCode" localSheetId="29" hidden="1">#REF!</definedName>
    <definedName name="FCode" localSheetId="18" hidden="1">#REF!</definedName>
    <definedName name="FCode" localSheetId="22" hidden="1">#REF!</definedName>
    <definedName name="FCode" localSheetId="19" hidden="1">#REF!</definedName>
    <definedName name="fdsfsdfd" localSheetId="18" hidden="1">{"'Sheet1'!$L$16"}</definedName>
    <definedName name="fffffffffffffff" localSheetId="18" hidden="1">{"'Sheet1'!$L$16"}</definedName>
    <definedName name="fghg" localSheetId="18" hidden="1">{"'Sheet1'!$L$16"}</definedName>
    <definedName name="fsdfdsf" localSheetId="18" hidden="1">{"'Sheet1'!$L$16"}</definedName>
    <definedName name="gdfgdfgdf" localSheetId="18" hidden="1">{"'Sheet1'!$L$16"}</definedName>
    <definedName name="GGGGGGGGGGGGGGGGGGG" localSheetId="18" hidden="1">{"'Sheet1'!$L$16"}</definedName>
    <definedName name="GoBack" localSheetId="10">[9]Sheet1!GoBack</definedName>
    <definedName name="GoBack" localSheetId="9">[9]Sheet1!GoBack</definedName>
    <definedName name="GoBack" localSheetId="14">[9]Sheet1!GoBack</definedName>
    <definedName name="GoBack" localSheetId="28">[9]Sheet1!GoBack</definedName>
    <definedName name="GoBack" localSheetId="27">[9]Sheet1!GoBack</definedName>
    <definedName name="GoBack" localSheetId="13">[9]Sheet1!GoBack</definedName>
    <definedName name="GoBack" localSheetId="30">[9]Sheet1!GoBack</definedName>
    <definedName name="GoBack" localSheetId="15">[9]Sheet1!GoBack</definedName>
    <definedName name="GoBack" localSheetId="12">[9]Sheet1!GoBack</definedName>
    <definedName name="GoBack" localSheetId="29">[9]Sheet1!GoBack</definedName>
    <definedName name="GoBack" localSheetId="18">[9]Sheet1!GoBack</definedName>
    <definedName name="GoBack" localSheetId="22">[9]Sheet1!GoBack</definedName>
    <definedName name="GoBack" localSheetId="19">[9]Sheet1!GoBack</definedName>
    <definedName name="gsktxd" localSheetId="10">[17]!gsktxd</definedName>
    <definedName name="gsktxd" localSheetId="9">[17]!gsktxd</definedName>
    <definedName name="gsktxd" localSheetId="14">[17]!gsktxd</definedName>
    <definedName name="gsktxd" localSheetId="28">[17]!gsktxd</definedName>
    <definedName name="gsktxd" localSheetId="27">[17]!gsktxd</definedName>
    <definedName name="gsktxd" localSheetId="13">[17]!gsktxd</definedName>
    <definedName name="gsktxd" localSheetId="30">[17]!gsktxd</definedName>
    <definedName name="gsktxd" localSheetId="15">[17]!gsktxd</definedName>
    <definedName name="gsktxd" localSheetId="12">[17]!gsktxd</definedName>
    <definedName name="gsktxd" localSheetId="29">[17]!gsktxd</definedName>
    <definedName name="gsktxd" localSheetId="18">[17]!gsktxd</definedName>
    <definedName name="gsktxd" localSheetId="22">[17]!gsktxd</definedName>
    <definedName name="gsktxd" localSheetId="19">[17]!gsktxd</definedName>
    <definedName name="gt">[4]INFOR!$C$2</definedName>
    <definedName name="Gxltt">[18]THKP!$J$7</definedName>
    <definedName name="h" localSheetId="18" hidden="1">{"'Sheet1'!$L$16"}</definedName>
    <definedName name="HaoHutBQ" localSheetId="10">#REF!</definedName>
    <definedName name="HaoHutBQ" localSheetId="9">#REF!</definedName>
    <definedName name="HaoHutBQ" localSheetId="14">#REF!</definedName>
    <definedName name="HaoHutBQ" localSheetId="13">#REF!</definedName>
    <definedName name="HaoHutBQ" localSheetId="15">#REF!</definedName>
    <definedName name="HaoHutBQ" localSheetId="12">#REF!</definedName>
    <definedName name="HaoHutBQ" localSheetId="18">#REF!</definedName>
    <definedName name="HaoHutBQ" localSheetId="19">#REF!</definedName>
    <definedName name="HaoHutVC" localSheetId="10">#REF!</definedName>
    <definedName name="HaoHutVC" localSheetId="9">#REF!</definedName>
    <definedName name="HaoHutVC" localSheetId="14">#REF!</definedName>
    <definedName name="HaoHutVC" localSheetId="13">#REF!</definedName>
    <definedName name="HaoHutVC" localSheetId="15">#REF!</definedName>
    <definedName name="HaoHutVC" localSheetId="12">#REF!</definedName>
    <definedName name="HaoHutVC" localSheetId="18">#REF!</definedName>
    <definedName name="HaoHutVC" localSheetId="19">#REF!</definedName>
    <definedName name="hds">[19]INFOR!$C$3</definedName>
    <definedName name="Heä_soá_laép_xaø_H">1.7</definedName>
    <definedName name="HiddenRows" localSheetId="10" hidden="1">#REF!</definedName>
    <definedName name="HiddenRows" localSheetId="9" hidden="1">#REF!</definedName>
    <definedName name="HiddenRows" localSheetId="14" hidden="1">#REF!</definedName>
    <definedName name="HiddenRows" localSheetId="28" hidden="1">#REF!</definedName>
    <definedName name="HiddenRows" localSheetId="27" hidden="1">#REF!</definedName>
    <definedName name="HiddenRows" localSheetId="13" hidden="1">#REF!</definedName>
    <definedName name="HiddenRows" localSheetId="30" hidden="1">#REF!</definedName>
    <definedName name="HiddenRows" localSheetId="15" hidden="1">#REF!</definedName>
    <definedName name="HiddenRows" localSheetId="12" hidden="1">#REF!</definedName>
    <definedName name="HiddenRows" localSheetId="29" hidden="1">#REF!</definedName>
    <definedName name="HiddenRows" localSheetId="18" hidden="1">#REF!</definedName>
    <definedName name="HiddenRows" localSheetId="22" hidden="1">#REF!</definedName>
    <definedName name="HiddenRows" localSheetId="19" hidden="1">#REF!</definedName>
    <definedName name="Hinh_thuc">"bangtra"</definedName>
    <definedName name="hm">[19]INFOR!$C$8</definedName>
    <definedName name="hoc">55000</definedName>
    <definedName name="HSCT3">0.1</definedName>
    <definedName name="HSDN">2.5</definedName>
    <definedName name="HSLXH">1.7</definedName>
    <definedName name="hsm">1.1289</definedName>
    <definedName name="hsnc_cau">1.626</definedName>
    <definedName name="hsnc_cau2">1.626</definedName>
    <definedName name="hsnc_d">1.6356</definedName>
    <definedName name="hsnc_d2">1.6356</definedName>
    <definedName name="hsvl">1</definedName>
    <definedName name="hsvl2">1</definedName>
    <definedName name="HTML_CodePage" hidden="1">950</definedName>
    <definedName name="HTML_Control" localSheetId="18"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MT1" localSheetId="18" hidden="1">{"'Sheet1'!$L$16"}</definedName>
    <definedName name="hu" localSheetId="18" hidden="1">{"'Sheet1'!$L$16"}</definedName>
    <definedName name="hui" localSheetId="18" hidden="1">{"'Sheet1'!$L$16"}</definedName>
    <definedName name="huy" localSheetId="18" hidden="1">{"'Sheet1'!$L$16"}</definedName>
    <definedName name="K_1" localSheetId="10">[20]!K_1</definedName>
    <definedName name="K_1" localSheetId="9">[20]!K_1</definedName>
    <definedName name="K_1" localSheetId="14">[20]!K_1</definedName>
    <definedName name="K_1" localSheetId="28">[20]!K_1</definedName>
    <definedName name="K_1" localSheetId="27">[20]!K_1</definedName>
    <definedName name="K_1" localSheetId="13">[20]!K_1</definedName>
    <definedName name="K_1" localSheetId="30">[20]!K_1</definedName>
    <definedName name="K_1" localSheetId="15">[20]!K_1</definedName>
    <definedName name="K_1" localSheetId="12">[20]!K_1</definedName>
    <definedName name="K_1" localSheetId="29">[20]!K_1</definedName>
    <definedName name="K_1" localSheetId="18">[20]!K_1</definedName>
    <definedName name="K_1" localSheetId="22">[20]!K_1</definedName>
    <definedName name="K_1" localSheetId="19">[20]!K_1</definedName>
    <definedName name="K_2" localSheetId="10">[20]!K_2</definedName>
    <definedName name="K_2" localSheetId="9">[20]!K_2</definedName>
    <definedName name="K_2" localSheetId="14">[20]!K_2</definedName>
    <definedName name="K_2" localSheetId="28">[20]!K_2</definedName>
    <definedName name="K_2" localSheetId="27">[20]!K_2</definedName>
    <definedName name="K_2" localSheetId="13">[20]!K_2</definedName>
    <definedName name="K_2" localSheetId="30">[20]!K_2</definedName>
    <definedName name="K_2" localSheetId="15">[20]!K_2</definedName>
    <definedName name="K_2" localSheetId="12">[20]!K_2</definedName>
    <definedName name="K_2" localSheetId="29">[20]!K_2</definedName>
    <definedName name="K_2" localSheetId="18">[20]!K_2</definedName>
    <definedName name="K_2" localSheetId="22">[20]!K_2</definedName>
    <definedName name="K_2" localSheetId="19">[20]!K_2</definedName>
    <definedName name="K_3" localSheetId="10">[20]!K_3</definedName>
    <definedName name="K_3" localSheetId="9">[20]!K_3</definedName>
    <definedName name="K_3" localSheetId="14">[20]!K_3</definedName>
    <definedName name="K_3" localSheetId="28">[20]!K_3</definedName>
    <definedName name="K_3" localSheetId="27">[20]!K_3</definedName>
    <definedName name="K_3" localSheetId="13">[20]!K_3</definedName>
    <definedName name="K_3" localSheetId="30">[20]!K_3</definedName>
    <definedName name="K_3" localSheetId="15">[20]!K_3</definedName>
    <definedName name="K_3" localSheetId="12">[20]!K_3</definedName>
    <definedName name="K_3" localSheetId="29">[20]!K_3</definedName>
    <definedName name="K_3" localSheetId="18">[20]!K_3</definedName>
    <definedName name="K_3" localSheetId="22">[20]!K_3</definedName>
    <definedName name="K_3" localSheetId="19">[20]!K_3</definedName>
    <definedName name="K_4" localSheetId="10">[20]!K_4</definedName>
    <definedName name="K_4" localSheetId="9">[20]!K_4</definedName>
    <definedName name="K_4" localSheetId="14">[20]!K_4</definedName>
    <definedName name="K_4" localSheetId="28">[20]!K_4</definedName>
    <definedName name="K_4" localSheetId="27">[20]!K_4</definedName>
    <definedName name="K_4" localSheetId="13">[20]!K_4</definedName>
    <definedName name="K_4" localSheetId="30">[20]!K_4</definedName>
    <definedName name="K_4" localSheetId="15">[20]!K_4</definedName>
    <definedName name="K_4" localSheetId="12">[20]!K_4</definedName>
    <definedName name="K_4" localSheetId="29">[20]!K_4</definedName>
    <definedName name="K_4" localSheetId="18">[20]!K_4</definedName>
    <definedName name="K_4" localSheetId="22">[20]!K_4</definedName>
    <definedName name="K_4" localSheetId="19">[20]!K_4</definedName>
    <definedName name="K_5" localSheetId="10">[20]!K_5</definedName>
    <definedName name="K_5" localSheetId="9">[20]!K_5</definedName>
    <definedName name="K_5" localSheetId="14">[20]!K_5</definedName>
    <definedName name="K_5" localSheetId="28">[20]!K_5</definedName>
    <definedName name="K_5" localSheetId="27">[20]!K_5</definedName>
    <definedName name="K_5" localSheetId="13">[20]!K_5</definedName>
    <definedName name="K_5" localSheetId="30">[20]!K_5</definedName>
    <definedName name="K_5" localSheetId="15">[20]!K_5</definedName>
    <definedName name="K_5" localSheetId="12">[20]!K_5</definedName>
    <definedName name="K_5" localSheetId="29">[20]!K_5</definedName>
    <definedName name="K_5" localSheetId="18">[20]!K_5</definedName>
    <definedName name="K_5" localSheetId="22">[20]!K_5</definedName>
    <definedName name="K_5" localSheetId="19">[20]!K_5</definedName>
    <definedName name="K_6" localSheetId="10">[20]!K_6</definedName>
    <definedName name="K_6" localSheetId="9">[20]!K_6</definedName>
    <definedName name="K_6" localSheetId="14">[20]!K_6</definedName>
    <definedName name="K_6" localSheetId="28">[20]!K_6</definedName>
    <definedName name="K_6" localSheetId="27">[20]!K_6</definedName>
    <definedName name="K_6" localSheetId="13">[20]!K_6</definedName>
    <definedName name="K_6" localSheetId="30">[20]!K_6</definedName>
    <definedName name="K_6" localSheetId="15">[20]!K_6</definedName>
    <definedName name="K_6" localSheetId="12">[20]!K_6</definedName>
    <definedName name="K_6" localSheetId="29">[20]!K_6</definedName>
    <definedName name="K_6" localSheetId="18">[20]!K_6</definedName>
    <definedName name="K_6" localSheetId="22">[20]!K_6</definedName>
    <definedName name="K_6" localSheetId="19">[20]!K_6</definedName>
    <definedName name="K_7" localSheetId="10">[20]!K_7</definedName>
    <definedName name="K_7" localSheetId="9">[20]!K_7</definedName>
    <definedName name="K_7" localSheetId="14">[20]!K_7</definedName>
    <definedName name="K_7" localSheetId="28">[20]!K_7</definedName>
    <definedName name="K_7" localSheetId="27">[20]!K_7</definedName>
    <definedName name="K_7" localSheetId="13">[20]!K_7</definedName>
    <definedName name="K_7" localSheetId="30">[20]!K_7</definedName>
    <definedName name="K_7" localSheetId="15">[20]!K_7</definedName>
    <definedName name="K_7" localSheetId="12">[20]!K_7</definedName>
    <definedName name="K_7" localSheetId="29">[20]!K_7</definedName>
    <definedName name="K_7" localSheetId="18">[20]!K_7</definedName>
    <definedName name="K_7" localSheetId="22">[20]!K_7</definedName>
    <definedName name="K_7" localSheetId="19">[20]!K_7</definedName>
    <definedName name="K_8" localSheetId="10">[20]!K_8</definedName>
    <definedName name="K_8" localSheetId="9">[20]!K_8</definedName>
    <definedName name="K_8" localSheetId="14">[20]!K_8</definedName>
    <definedName name="K_8" localSheetId="28">[20]!K_8</definedName>
    <definedName name="K_8" localSheetId="27">[20]!K_8</definedName>
    <definedName name="K_8" localSheetId="13">[20]!K_8</definedName>
    <definedName name="K_8" localSheetId="30">[20]!K_8</definedName>
    <definedName name="K_8" localSheetId="15">[20]!K_8</definedName>
    <definedName name="K_8" localSheetId="12">[20]!K_8</definedName>
    <definedName name="K_8" localSheetId="29">[20]!K_8</definedName>
    <definedName name="K_8" localSheetId="18">[20]!K_8</definedName>
    <definedName name="K_8" localSheetId="22">[20]!K_8</definedName>
    <definedName name="K_8" localSheetId="19">[20]!K_8</definedName>
    <definedName name="ka">2</definedName>
    <definedName name="keo" xml:space="preserve"> ROUNDUP([6]Keothep!XEZ1*[6]Keothep!XFA1*[6]Keothep!XFB1*[6]Keothep!XFC1*7.85,0)</definedName>
    <definedName name="khac">2</definedName>
    <definedName name="khongtruotgia" localSheetId="18" hidden="1">{"'Sheet1'!$L$16"}</definedName>
    <definedName name="KieuTinhGia" localSheetId="10">#REF!</definedName>
    <definedName name="KieuTinhGia" localSheetId="9">#REF!</definedName>
    <definedName name="KieuTinhGia" localSheetId="14">#REF!</definedName>
    <definedName name="KieuTinhGia" localSheetId="13">#REF!</definedName>
    <definedName name="KieuTinhGia" localSheetId="15">#REF!</definedName>
    <definedName name="KieuTinhGia" localSheetId="12">#REF!</definedName>
    <definedName name="KieuTinhGia" localSheetId="18">#REF!</definedName>
    <definedName name="KieuTinhGia" localSheetId="19">#REF!</definedName>
    <definedName name="KSDA" localSheetId="18" hidden="1">{"'Sheet1'!$L$16"}</definedName>
    <definedName name="Lan" localSheetId="18">{"Thuxm2.xls","Sheet1"}</definedName>
    <definedName name="lbcnckt" localSheetId="10">[21]!lbcnckt</definedName>
    <definedName name="lbcnckt" localSheetId="9">[21]!lbcnckt</definedName>
    <definedName name="lbcnckt" localSheetId="14">[21]!lbcnckt</definedName>
    <definedName name="lbcnckt" localSheetId="28">[21]!lbcnckt</definedName>
    <definedName name="lbcnckt" localSheetId="27">[21]!lbcnckt</definedName>
    <definedName name="lbcnckt" localSheetId="13">[21]!lbcnckt</definedName>
    <definedName name="lbcnckt" localSheetId="30">[21]!lbcnckt</definedName>
    <definedName name="lbcnckt" localSheetId="15">[21]!lbcnckt</definedName>
    <definedName name="lbcnckt" localSheetId="12">[21]!lbcnckt</definedName>
    <definedName name="lbcnckt" localSheetId="29">[21]!lbcnckt</definedName>
    <definedName name="lbcnckt" localSheetId="18">[21]!lbcnckt</definedName>
    <definedName name="lbcnckt" localSheetId="22">[21]!lbcnckt</definedName>
    <definedName name="lbcnckt" localSheetId="19">[21]!lbcnckt</definedName>
    <definedName name="lephai">NA()</definedName>
    <definedName name="letrai">NA()</definedName>
    <definedName name="limcount" hidden="1">2</definedName>
    <definedName name="List_BuocTK">'[15]Đầu vào'!$AM$3:$AM$5</definedName>
    <definedName name="List_CapCT">'[15]Đầu vào'!$AN$3:$AN$7</definedName>
    <definedName name="List_LoaiCT">'[15]Đầu vào'!$AL$3:$AL$7</definedName>
    <definedName name="LLLLLLLLLL" localSheetId="10" hidden="1">#REF!</definedName>
    <definedName name="LLLLLLLLLL" localSheetId="9" hidden="1">#REF!</definedName>
    <definedName name="LLLLLLLLLL" localSheetId="14" hidden="1">#REF!</definedName>
    <definedName name="LLLLLLLLLL" localSheetId="28" hidden="1">#REF!</definedName>
    <definedName name="LLLLLLLLLL" localSheetId="27" hidden="1">#REF!</definedName>
    <definedName name="LLLLLLLLLL" localSheetId="13" hidden="1">#REF!</definedName>
    <definedName name="LLLLLLLLLL" localSheetId="30" hidden="1">#REF!</definedName>
    <definedName name="LLLLLLLLLL" localSheetId="15" hidden="1">#REF!</definedName>
    <definedName name="LLLLLLLLLL" localSheetId="12" hidden="1">#REF!</definedName>
    <definedName name="LLLLLLLLLL" localSheetId="29" hidden="1">#REF!</definedName>
    <definedName name="LLLLLLLLLL" localSheetId="18" hidden="1">#REF!</definedName>
    <definedName name="LLLLLLLLLL" localSheetId="22" hidden="1">#REF!</definedName>
    <definedName name="LLLLLLLLLL" localSheetId="19" hidden="1">#REF!</definedName>
    <definedName name="Loaicongtrinh" localSheetId="10">[3]HESO!#REF!</definedName>
    <definedName name="Loaicongtrinh" localSheetId="9">[3]HESO!#REF!</definedName>
    <definedName name="Loaicongtrinh" localSheetId="14">[3]HESO!#REF!</definedName>
    <definedName name="Loaicongtrinh" localSheetId="13">[3]HESO!#REF!</definedName>
    <definedName name="Loaicongtrinh" localSheetId="15">[3]HESO!#REF!</definedName>
    <definedName name="Loaicongtrinh" localSheetId="12">[3]HESO!#REF!</definedName>
    <definedName name="Loaicongtrinh" localSheetId="18">[3]HESO!#REF!</definedName>
    <definedName name="Loaicongtrinh" localSheetId="19">[3]HESO!#REF!</definedName>
    <definedName name="Loaiduong">'[8]CUOC VAN CHUYEN'!$B$4:$E$4</definedName>
    <definedName name="Macro18c" localSheetId="10">[22]!Macro18c</definedName>
    <definedName name="Macro18c" localSheetId="9">[22]!Macro18c</definedName>
    <definedName name="Macro18c" localSheetId="14">[22]!Macro18c</definedName>
    <definedName name="Macro18c" localSheetId="28">[22]!Macro18c</definedName>
    <definedName name="Macro18c" localSheetId="27">[22]!Macro18c</definedName>
    <definedName name="Macro18c" localSheetId="13">[22]!Macro18c</definedName>
    <definedName name="Macro18c" localSheetId="30">[22]!Macro18c</definedName>
    <definedName name="Macro18c" localSheetId="15">[22]!Macro18c</definedName>
    <definedName name="Macro18c" localSheetId="12">[22]!Macro18c</definedName>
    <definedName name="Macro18c" localSheetId="29">[22]!Macro18c</definedName>
    <definedName name="Macro18c" localSheetId="18">[22]!Macro18c</definedName>
    <definedName name="Macro18c" localSheetId="22">[22]!Macro18c</definedName>
    <definedName name="Macro18c" localSheetId="19">[22]!Macro18c</definedName>
    <definedName name="Macro20b" localSheetId="10">[23]!Macro20b</definedName>
    <definedName name="Macro20b" localSheetId="9">[23]!Macro20b</definedName>
    <definedName name="Macro20b" localSheetId="14">[23]!Macro20b</definedName>
    <definedName name="Macro20b" localSheetId="28">[23]!Macro20b</definedName>
    <definedName name="Macro20b" localSheetId="27">[23]!Macro20b</definedName>
    <definedName name="Macro20b" localSheetId="13">[23]!Macro20b</definedName>
    <definedName name="Macro20b" localSheetId="30">[23]!Macro20b</definedName>
    <definedName name="Macro20b" localSheetId="15">[23]!Macro20b</definedName>
    <definedName name="Macro20b" localSheetId="12">[23]!Macro20b</definedName>
    <definedName name="Macro20b" localSheetId="29">[23]!Macro20b</definedName>
    <definedName name="Macro20b" localSheetId="18">[23]!Macro20b</definedName>
    <definedName name="Macro20b" localSheetId="22">[23]!Macro20b</definedName>
    <definedName name="Macro20b" localSheetId="19">[23]!Macro20b</definedName>
    <definedName name="Macro21b" localSheetId="10">[23]!Macro21b</definedName>
    <definedName name="Macro21b" localSheetId="9">[23]!Macro21b</definedName>
    <definedName name="Macro21b" localSheetId="14">[23]!Macro21b</definedName>
    <definedName name="Macro21b" localSheetId="28">[23]!Macro21b</definedName>
    <definedName name="Macro21b" localSheetId="27">[23]!Macro21b</definedName>
    <definedName name="Macro21b" localSheetId="13">[23]!Macro21b</definedName>
    <definedName name="Macro21b" localSheetId="30">[23]!Macro21b</definedName>
    <definedName name="Macro21b" localSheetId="15">[23]!Macro21b</definedName>
    <definedName name="Macro21b" localSheetId="12">[23]!Macro21b</definedName>
    <definedName name="Macro21b" localSheetId="29">[23]!Macro21b</definedName>
    <definedName name="Macro21b" localSheetId="18">[23]!Macro21b</definedName>
    <definedName name="Macro21b" localSheetId="22">[23]!Macro21b</definedName>
    <definedName name="Macro21b" localSheetId="19">[23]!Macro21b</definedName>
    <definedName name="Maùy_thi_coâng">"mtc"</definedName>
    <definedName name="minhba" localSheetId="18">{"Book1","monthly update report.xls"}</definedName>
    <definedName name="Module1.cplhsmt" localSheetId="10">[21]!Module1.cplhsmt</definedName>
    <definedName name="Module1.cplhsmt" localSheetId="9">[21]!Module1.cplhsmt</definedName>
    <definedName name="Module1.cplhsmt" localSheetId="14">[21]!Module1.cplhsmt</definedName>
    <definedName name="Module1.cplhsmt" localSheetId="28">[21]!Module1.cplhsmt</definedName>
    <definedName name="Module1.cplhsmt" localSheetId="27">[21]!Module1.cplhsmt</definedName>
    <definedName name="Module1.cplhsmt" localSheetId="13">[21]!Module1.cplhsmt</definedName>
    <definedName name="Module1.cplhsmt" localSheetId="30">[21]!Module1.cplhsmt</definedName>
    <definedName name="Module1.cplhsmt" localSheetId="15">[21]!Module1.cplhsmt</definedName>
    <definedName name="Module1.cplhsmt" localSheetId="12">[21]!Module1.cplhsmt</definedName>
    <definedName name="Module1.cplhsmt" localSheetId="29">[21]!Module1.cplhsmt</definedName>
    <definedName name="Module1.cplhsmt" localSheetId="18">[21]!Module1.cplhsmt</definedName>
    <definedName name="Module1.cplhsmt" localSheetId="22">[21]!Module1.cplhsmt</definedName>
    <definedName name="Module1.cplhsmt" localSheetId="19">[21]!Module1.cplhsmt</definedName>
    <definedName name="Module1.cptdhsmt" localSheetId="10">[21]!Module1.cptdhsmt</definedName>
    <definedName name="Module1.cptdhsmt" localSheetId="9">[21]!Module1.cptdhsmt</definedName>
    <definedName name="Module1.cptdhsmt" localSheetId="14">[21]!Module1.cptdhsmt</definedName>
    <definedName name="Module1.cptdhsmt" localSheetId="28">[21]!Module1.cptdhsmt</definedName>
    <definedName name="Module1.cptdhsmt" localSheetId="27">[21]!Module1.cptdhsmt</definedName>
    <definedName name="Module1.cptdhsmt" localSheetId="13">[21]!Module1.cptdhsmt</definedName>
    <definedName name="Module1.cptdhsmt" localSheetId="30">[21]!Module1.cptdhsmt</definedName>
    <definedName name="Module1.cptdhsmt" localSheetId="15">[21]!Module1.cptdhsmt</definedName>
    <definedName name="Module1.cptdhsmt" localSheetId="12">[21]!Module1.cptdhsmt</definedName>
    <definedName name="Module1.cptdhsmt" localSheetId="29">[21]!Module1.cptdhsmt</definedName>
    <definedName name="Module1.cptdhsmt" localSheetId="18">[21]!Module1.cptdhsmt</definedName>
    <definedName name="Module1.cptdhsmt" localSheetId="22">[21]!Module1.cptdhsmt</definedName>
    <definedName name="Module1.cptdhsmt" localSheetId="19">[21]!Module1.cptdhsmt</definedName>
    <definedName name="Module1.cptdtdt" localSheetId="10">[21]!Module1.cptdtdt</definedName>
    <definedName name="Module1.cptdtdt" localSheetId="9">[21]!Module1.cptdtdt</definedName>
    <definedName name="Module1.cptdtdt" localSheetId="14">[21]!Module1.cptdtdt</definedName>
    <definedName name="Module1.cptdtdt" localSheetId="28">[21]!Module1.cptdtdt</definedName>
    <definedName name="Module1.cptdtdt" localSheetId="27">[21]!Module1.cptdtdt</definedName>
    <definedName name="Module1.cptdtdt" localSheetId="13">[21]!Module1.cptdtdt</definedName>
    <definedName name="Module1.cptdtdt" localSheetId="30">[21]!Module1.cptdtdt</definedName>
    <definedName name="Module1.cptdtdt" localSheetId="15">[21]!Module1.cptdtdt</definedName>
    <definedName name="Module1.cptdtdt" localSheetId="12">[21]!Module1.cptdtdt</definedName>
    <definedName name="Module1.cptdtdt" localSheetId="29">[21]!Module1.cptdtdt</definedName>
    <definedName name="Module1.cptdtdt" localSheetId="18">[21]!Module1.cptdtdt</definedName>
    <definedName name="Module1.cptdtdt" localSheetId="22">[21]!Module1.cptdtdt</definedName>
    <definedName name="Module1.cptdtdt" localSheetId="19">[21]!Module1.cptdtdt</definedName>
    <definedName name="Module1.cptdtkkt" localSheetId="10">[21]!Module1.cptdtkkt</definedName>
    <definedName name="Module1.cptdtkkt" localSheetId="9">[21]!Module1.cptdtkkt</definedName>
    <definedName name="Module1.cptdtkkt" localSheetId="14">[21]!Module1.cptdtkkt</definedName>
    <definedName name="Module1.cptdtkkt" localSheetId="28">[21]!Module1.cptdtkkt</definedName>
    <definedName name="Module1.cptdtkkt" localSheetId="27">[21]!Module1.cptdtkkt</definedName>
    <definedName name="Module1.cptdtkkt" localSheetId="13">[21]!Module1.cptdtkkt</definedName>
    <definedName name="Module1.cptdtkkt" localSheetId="30">[21]!Module1.cptdtkkt</definedName>
    <definedName name="Module1.cptdtkkt" localSheetId="15">[21]!Module1.cptdtkkt</definedName>
    <definedName name="Module1.cptdtkkt" localSheetId="12">[21]!Module1.cptdtkkt</definedName>
    <definedName name="Module1.cptdtkkt" localSheetId="29">[21]!Module1.cptdtkkt</definedName>
    <definedName name="Module1.cptdtkkt" localSheetId="18">[21]!Module1.cptdtkkt</definedName>
    <definedName name="Module1.cptdtkkt" localSheetId="22">[21]!Module1.cptdtkkt</definedName>
    <definedName name="Module1.cptdtkkt" localSheetId="19">[21]!Module1.cptdtkkt</definedName>
    <definedName name="Module1.gsktxd" localSheetId="10">[21]!Module1.gsktxd</definedName>
    <definedName name="Module1.gsktxd" localSheetId="9">[21]!Module1.gsktxd</definedName>
    <definedName name="Module1.gsktxd" localSheetId="14">[21]!Module1.gsktxd</definedName>
    <definedName name="Module1.gsktxd" localSheetId="28">[21]!Module1.gsktxd</definedName>
    <definedName name="Module1.gsktxd" localSheetId="27">[21]!Module1.gsktxd</definedName>
    <definedName name="Module1.gsktxd" localSheetId="13">[21]!Module1.gsktxd</definedName>
    <definedName name="Module1.gsktxd" localSheetId="30">[21]!Module1.gsktxd</definedName>
    <definedName name="Module1.gsktxd" localSheetId="15">[21]!Module1.gsktxd</definedName>
    <definedName name="Module1.gsktxd" localSheetId="12">[21]!Module1.gsktxd</definedName>
    <definedName name="Module1.gsktxd" localSheetId="29">[21]!Module1.gsktxd</definedName>
    <definedName name="Module1.gsktxd" localSheetId="18">[21]!Module1.gsktxd</definedName>
    <definedName name="Module1.gsktxd" localSheetId="22">[21]!Module1.gsktxd</definedName>
    <definedName name="Module1.gsktxd" localSheetId="19">[21]!Module1.gsktxd</definedName>
    <definedName name="Module1.qlda" localSheetId="10">[21]!Module1.qlda</definedName>
    <definedName name="Module1.qlda" localSheetId="9">[21]!Module1.qlda</definedName>
    <definedName name="Module1.qlda" localSheetId="14">[21]!Module1.qlda</definedName>
    <definedName name="Module1.qlda" localSheetId="28">[21]!Module1.qlda</definedName>
    <definedName name="Module1.qlda" localSheetId="27">[21]!Module1.qlda</definedName>
    <definedName name="Module1.qlda" localSheetId="13">[21]!Module1.qlda</definedName>
    <definedName name="Module1.qlda" localSheetId="30">[21]!Module1.qlda</definedName>
    <definedName name="Module1.qlda" localSheetId="15">[21]!Module1.qlda</definedName>
    <definedName name="Module1.qlda" localSheetId="12">[21]!Module1.qlda</definedName>
    <definedName name="Module1.qlda" localSheetId="29">[21]!Module1.qlda</definedName>
    <definedName name="Module1.qlda" localSheetId="18">[21]!Module1.qlda</definedName>
    <definedName name="Module1.qlda" localSheetId="22">[21]!Module1.qlda</definedName>
    <definedName name="Module1.qlda" localSheetId="19">[21]!Module1.qlda</definedName>
    <definedName name="Module1.tinhqt" localSheetId="10">[21]!Module1.tinhqt</definedName>
    <definedName name="Module1.tinhqt" localSheetId="9">[21]!Module1.tinhqt</definedName>
    <definedName name="Module1.tinhqt" localSheetId="14">[21]!Module1.tinhqt</definedName>
    <definedName name="Module1.tinhqt" localSheetId="28">[21]!Module1.tinhqt</definedName>
    <definedName name="Module1.tinhqt" localSheetId="27">[21]!Module1.tinhqt</definedName>
    <definedName name="Module1.tinhqt" localSheetId="13">[21]!Module1.tinhqt</definedName>
    <definedName name="Module1.tinhqt" localSheetId="30">[21]!Module1.tinhqt</definedName>
    <definedName name="Module1.tinhqt" localSheetId="15">[21]!Module1.tinhqt</definedName>
    <definedName name="Module1.tinhqt" localSheetId="12">[21]!Module1.tinhqt</definedName>
    <definedName name="Module1.tinhqt" localSheetId="29">[21]!Module1.tinhqt</definedName>
    <definedName name="Module1.tinhqt" localSheetId="18">[21]!Module1.tinhqt</definedName>
    <definedName name="Module1.tinhqt" localSheetId="22">[21]!Module1.tinhqt</definedName>
    <definedName name="Module1.tinhqt" localSheetId="19">[21]!Module1.tinhqt</definedName>
    <definedName name="NHAÂN_COÂNG" localSheetId="10">[0]!BTRAM</definedName>
    <definedName name="NHAÂN_COÂNG" localSheetId="9">[0]!BTRAM</definedName>
    <definedName name="NHAÂN_COÂNG" localSheetId="14">[0]!BTRAM</definedName>
    <definedName name="NHAÂN_COÂNG" localSheetId="28">[0]!BTRAM</definedName>
    <definedName name="NHAÂN_COÂNG" localSheetId="27">[0]!BTRAM</definedName>
    <definedName name="NHAÂN_COÂNG" localSheetId="13">[0]!BTRAM</definedName>
    <definedName name="NHAÂN_COÂNG" localSheetId="30">[0]!BTRAM</definedName>
    <definedName name="NHAÂN_COÂNG" localSheetId="15">[0]!BTRAM</definedName>
    <definedName name="NHAÂN_COÂNG" localSheetId="12">[0]!BTRAM</definedName>
    <definedName name="NHAÂN_COÂNG" localSheetId="29">[0]!BTRAM</definedName>
    <definedName name="NHAÂN_COÂNG" localSheetId="18">[0]!BTRAM</definedName>
    <definedName name="NHAÂN_COÂNG" localSheetId="22">[0]!BTRAM</definedName>
    <definedName name="NHAÂN_COÂNG" localSheetId="19">[0]!BTRAM</definedName>
    <definedName name="Nhaân_coâng_baäc_3_0_7__Nhoùm_1">"nc"</definedName>
    <definedName name="Nhan_xet_cua_dai">"Picture 1"</definedName>
    <definedName name="nhancong">'[2]nhân công'!$B$4:$D$14</definedName>
    <definedName name="nhfffd" localSheetId="18">{"DZ-TDTB2.XLS","Dcksat.xls"}</definedName>
    <definedName name="nt">[4]INFOR!$C$5</definedName>
    <definedName name="NToS" localSheetId="10">[24]!NToS</definedName>
    <definedName name="NToS" localSheetId="9">[24]!NToS</definedName>
    <definedName name="NToS" localSheetId="14">[24]!NToS</definedName>
    <definedName name="NToS" localSheetId="28">[24]!NToS</definedName>
    <definedName name="NToS" localSheetId="27">[24]!NToS</definedName>
    <definedName name="NToS" localSheetId="13">[24]!NToS</definedName>
    <definedName name="NToS" localSheetId="30">[24]!NToS</definedName>
    <definedName name="NToS" localSheetId="15">[24]!NToS</definedName>
    <definedName name="NToS" localSheetId="12">[24]!NToS</definedName>
    <definedName name="NToS" localSheetId="29">[24]!NToS</definedName>
    <definedName name="NToS" localSheetId="18">[24]!NToS</definedName>
    <definedName name="NToS" localSheetId="22">[24]!NToS</definedName>
    <definedName name="NToS" localSheetId="19">[24]!NToS</definedName>
    <definedName name="ok" localSheetId="18">{"Thuxm2.xls","Sheet1"}</definedName>
    <definedName name="ongch">[4]INFOR!$C$24</definedName>
    <definedName name="onggs">[4]INFOR!$C$13</definedName>
    <definedName name="onggsv">[4]INFOR!$C$14</definedName>
    <definedName name="ongtc">[4]INFOR!$C$21</definedName>
    <definedName name="öqw" localSheetId="18" hidden="1">{"'Sheet1'!$L$16"}</definedName>
    <definedName name="OrderTable" localSheetId="10" hidden="1">#REF!</definedName>
    <definedName name="OrderTable" localSheetId="9" hidden="1">#REF!</definedName>
    <definedName name="OrderTable" localSheetId="14" hidden="1">#REF!</definedName>
    <definedName name="OrderTable" localSheetId="28" hidden="1">#REF!</definedName>
    <definedName name="OrderTable" localSheetId="27" hidden="1">#REF!</definedName>
    <definedName name="OrderTable" localSheetId="13" hidden="1">#REF!</definedName>
    <definedName name="OrderTable" localSheetId="30" hidden="1">#REF!</definedName>
    <definedName name="OrderTable" localSheetId="15" hidden="1">#REF!</definedName>
    <definedName name="OrderTable" localSheetId="12" hidden="1">#REF!</definedName>
    <definedName name="OrderTable" localSheetId="29" hidden="1">#REF!</definedName>
    <definedName name="OrderTable" localSheetId="18" hidden="1">#REF!</definedName>
    <definedName name="OrderTable" localSheetId="22" hidden="1">#REF!</definedName>
    <definedName name="OrderTable" localSheetId="19" hidden="1">#REF!</definedName>
    <definedName name="_xlnm.Print_Area" localSheetId="3">DGCTDT!$A$1:$K$88</definedName>
    <definedName name="_xlnm.Print_Area" localSheetId="18">'Gia tri DC đợt 1'!$A$1:$L$121</definedName>
    <definedName name="_xlnm.Print_Area" localSheetId="22">'KL đào ống dẫn dòng'!$A$1:$AA$22</definedName>
    <definedName name="_xlnm.Print_Area" localSheetId="2">THDGDT!$A$1:$F$13</definedName>
    <definedName name="_xlnm.Print_Area" localSheetId="19">'Thuyết minh (đợt 1)'!$A$1:$Q$142</definedName>
    <definedName name="_xlnm.Print_Area" localSheetId="20">'TỔNG HỢP'!$A$1:$F$19</definedName>
    <definedName name="_xlnm.Print_Titles" localSheetId="21">'CHI TIẾT THIẾT BỊ CHẾ TẠO'!$A$4:$IV$4</definedName>
    <definedName name="_xlnm.Print_Titles" localSheetId="18">'Gia tri DC đợt 1'!$11:$12</definedName>
    <definedName name="_xlnm.Print_Titles" localSheetId="22">'KL đào ống dẫn dòng'!$4:$5</definedName>
    <definedName name="_xlnm.Print_Titles" localSheetId="19">'Thuyết minh (đợt 1)'!$38:$39</definedName>
    <definedName name="_xlnm.Print_Titles" localSheetId="5">'TỔNG HỢP GIÁ (2)'!$5:$6</definedName>
    <definedName name="ProdForm" localSheetId="10" hidden="1">#REF!</definedName>
    <definedName name="ProdForm" localSheetId="9" hidden="1">#REF!</definedName>
    <definedName name="ProdForm" localSheetId="14" hidden="1">#REF!</definedName>
    <definedName name="ProdForm" localSheetId="28" hidden="1">#REF!</definedName>
    <definedName name="ProdForm" localSheetId="27" hidden="1">#REF!</definedName>
    <definedName name="ProdForm" localSheetId="13" hidden="1">#REF!</definedName>
    <definedName name="ProdForm" localSheetId="30" hidden="1">#REF!</definedName>
    <definedName name="ProdForm" localSheetId="15" hidden="1">#REF!</definedName>
    <definedName name="ProdForm" localSheetId="12" hidden="1">#REF!</definedName>
    <definedName name="ProdForm" localSheetId="29" hidden="1">#REF!</definedName>
    <definedName name="ProdForm" localSheetId="18" hidden="1">#REF!</definedName>
    <definedName name="ProdForm" localSheetId="22" hidden="1">#REF!</definedName>
    <definedName name="ProdForm" localSheetId="19" hidden="1">#REF!</definedName>
    <definedName name="Product" localSheetId="10" hidden="1">#REF!</definedName>
    <definedName name="Product" localSheetId="9" hidden="1">#REF!</definedName>
    <definedName name="Product" localSheetId="14" hidden="1">#REF!</definedName>
    <definedName name="Product" localSheetId="28" hidden="1">#REF!</definedName>
    <definedName name="Product" localSheetId="27" hidden="1">#REF!</definedName>
    <definedName name="Product" localSheetId="13" hidden="1">#REF!</definedName>
    <definedName name="Product" localSheetId="30" hidden="1">#REF!</definedName>
    <definedName name="Product" localSheetId="15" hidden="1">#REF!</definedName>
    <definedName name="Product" localSheetId="12" hidden="1">#REF!</definedName>
    <definedName name="Product" localSheetId="29" hidden="1">#REF!</definedName>
    <definedName name="Product" localSheetId="18" hidden="1">#REF!</definedName>
    <definedName name="Product" localSheetId="22" hidden="1">#REF!</definedName>
    <definedName name="Product" localSheetId="19" hidden="1">#REF!</definedName>
    <definedName name="PtichDTL">'[14]DE quai (3 Cô) (2)'!PtichDTL</definedName>
    <definedName name="qlda" localSheetId="10">[17]!qlda</definedName>
    <definedName name="qlda" localSheetId="9">[17]!qlda</definedName>
    <definedName name="qlda" localSheetId="14">[17]!qlda</definedName>
    <definedName name="qlda" localSheetId="28">[17]!qlda</definedName>
    <definedName name="qlda" localSheetId="27">[17]!qlda</definedName>
    <definedName name="qlda" localSheetId="13">[17]!qlda</definedName>
    <definedName name="qlda" localSheetId="30">[17]!qlda</definedName>
    <definedName name="qlda" localSheetId="15">[17]!qlda</definedName>
    <definedName name="qlda" localSheetId="12">[17]!qlda</definedName>
    <definedName name="qlda" localSheetId="29">[17]!qlda</definedName>
    <definedName name="qlda" localSheetId="18">[17]!qlda</definedName>
    <definedName name="qlda" localSheetId="22">[17]!qlda</definedName>
    <definedName name="qlda" localSheetId="19">[17]!qlda</definedName>
    <definedName name="Ranhxay" localSheetId="18" hidden="1">{"'Sheet1'!$L$16"}</definedName>
    <definedName name="rate">14000</definedName>
    <definedName name="RCArea" localSheetId="10" hidden="1">#REF!</definedName>
    <definedName name="RCArea" localSheetId="9" hidden="1">#REF!</definedName>
    <definedName name="RCArea" localSheetId="14" hidden="1">#REF!</definedName>
    <definedName name="RCArea" localSheetId="28" hidden="1">#REF!</definedName>
    <definedName name="RCArea" localSheetId="27" hidden="1">#REF!</definedName>
    <definedName name="RCArea" localSheetId="13" hidden="1">#REF!</definedName>
    <definedName name="RCArea" localSheetId="30" hidden="1">#REF!</definedName>
    <definedName name="RCArea" localSheetId="15" hidden="1">#REF!</definedName>
    <definedName name="RCArea" localSheetId="12" hidden="1">#REF!</definedName>
    <definedName name="RCArea" localSheetId="29" hidden="1">#REF!</definedName>
    <definedName name="RCArea" localSheetId="18" hidden="1">#REF!</definedName>
    <definedName name="RCArea" localSheetId="22" hidden="1">#REF!</definedName>
    <definedName name="RCArea" localSheetId="19" hidden="1">#REF!</definedName>
    <definedName name="rte" localSheetId="18" hidden="1">{"'Sheet1'!$L$16"}</definedName>
    <definedName name="sas" localSheetId="18" hidden="1">{"'Sheet1'!$L$16"}</definedName>
    <definedName name="sdfsdfsd" localSheetId="18" hidden="1">{"'Sheet1'!$L$16"}</definedName>
    <definedName name="sdz" localSheetId="18" hidden="1">{"'Sheet1'!$L$16"}</definedName>
    <definedName name="sencount" hidden="1">13</definedName>
    <definedName name="setcolors">[25]!setcolors</definedName>
    <definedName name="SOTKCDKT">[26]CDKT!$A$113,[26]CDKT!$A$111,[26]CDKT!$C$1:$C$65536</definedName>
    <definedName name="SOTKH" localSheetId="10">[26]CD_PSINH!#REF!,[26]CD_PSINH!$A$1:$A$65536</definedName>
    <definedName name="SOTKH" localSheetId="9">[26]CD_PSINH!#REF!,[26]CD_PSINH!$A$1:$A$65536</definedName>
    <definedName name="SOTKH" localSheetId="14">[26]CD_PSINH!#REF!,[26]CD_PSINH!$A$1:$A$65536</definedName>
    <definedName name="SOTKH" localSheetId="28">[26]CD_PSINH!#REF!,[26]CD_PSINH!$A$1:$A$65536</definedName>
    <definedName name="SOTKH" localSheetId="27">[26]CD_PSINH!#REF!,[26]CD_PSINH!$A$1:$A$65536</definedName>
    <definedName name="SOTKH" localSheetId="13">[26]CD_PSINH!#REF!,[26]CD_PSINH!$A$1:$A$65536</definedName>
    <definedName name="SOTKH" localSheetId="30">[26]CD_PSINH!#REF!,[26]CD_PSINH!$A$1:$A$65536</definedName>
    <definedName name="SOTKH" localSheetId="15">[26]CD_PSINH!#REF!,[26]CD_PSINH!$A$1:$A$65536</definedName>
    <definedName name="SOTKH" localSheetId="12">[26]CD_PSINH!#REF!,[26]CD_PSINH!$A$1:$A$65536</definedName>
    <definedName name="SOTKH" localSheetId="29">[26]CD_PSINH!#REF!,[26]CD_PSINH!$A$1:$A$65536</definedName>
    <definedName name="SOTKH" localSheetId="18">[26]CD_PSINH!#REF!,[26]CD_PSINH!$A$1:$A$65536</definedName>
    <definedName name="SOTKH" localSheetId="22">[26]CD_PSINH!#REF!,[26]CD_PSINH!$A$1:$A$65536</definedName>
    <definedName name="SOTKH" localSheetId="19">[26]CD_PSINH!#REF!,[26]CD_PSINH!$A$1:$A$65536</definedName>
    <definedName name="Spanner_Auto_File">"C:\My Documents\tinh cdo.x2a"</definedName>
    <definedName name="SpecialPrice" localSheetId="10" hidden="1">#REF!</definedName>
    <definedName name="SpecialPrice" localSheetId="9" hidden="1">#REF!</definedName>
    <definedName name="SpecialPrice" localSheetId="14" hidden="1">#REF!</definedName>
    <definedName name="SpecialPrice" localSheetId="28" hidden="1">#REF!</definedName>
    <definedName name="SpecialPrice" localSheetId="27" hidden="1">#REF!</definedName>
    <definedName name="SpecialPrice" localSheetId="13" hidden="1">#REF!</definedName>
    <definedName name="SpecialPrice" localSheetId="30" hidden="1">#REF!</definedName>
    <definedName name="SpecialPrice" localSheetId="15" hidden="1">#REF!</definedName>
    <definedName name="SpecialPrice" localSheetId="12" hidden="1">#REF!</definedName>
    <definedName name="SpecialPrice" localSheetId="29" hidden="1">#REF!</definedName>
    <definedName name="SpecialPrice" localSheetId="18" hidden="1">#REF!</definedName>
    <definedName name="SpecialPrice" localSheetId="22" hidden="1">#REF!</definedName>
    <definedName name="SpecialPrice" localSheetId="19" hidden="1">#REF!</definedName>
    <definedName name="ss" localSheetId="18" hidden="1">{"'Sheet1'!$L$16"}</definedName>
    <definedName name="SUMNC1">NA()</definedName>
    <definedName name="SumVL">NA()</definedName>
    <definedName name="TaxTV">10%</definedName>
    <definedName name="TaxXL">5%</definedName>
    <definedName name="TB" localSheetId="10">#REF!</definedName>
    <definedName name="TB" localSheetId="9">#REF!</definedName>
    <definedName name="TB" localSheetId="14">#REF!</definedName>
    <definedName name="TB" localSheetId="13">#REF!</definedName>
    <definedName name="TB" localSheetId="15">#REF!</definedName>
    <definedName name="TB" localSheetId="12">#REF!</definedName>
    <definedName name="TB" localSheetId="18">#REF!</definedName>
    <definedName name="TB" localSheetId="19">#REF!</definedName>
    <definedName name="TBGIACO">NA()</definedName>
    <definedName name="tbl_ProdInfo" localSheetId="10" hidden="1">#REF!</definedName>
    <definedName name="tbl_ProdInfo" localSheetId="9" hidden="1">#REF!</definedName>
    <definedName name="tbl_ProdInfo" localSheetId="14" hidden="1">#REF!</definedName>
    <definedName name="tbl_ProdInfo" localSheetId="28" hidden="1">#REF!</definedName>
    <definedName name="tbl_ProdInfo" localSheetId="27" hidden="1">#REF!</definedName>
    <definedName name="tbl_ProdInfo" localSheetId="13" hidden="1">#REF!</definedName>
    <definedName name="tbl_ProdInfo" localSheetId="30" hidden="1">#REF!</definedName>
    <definedName name="tbl_ProdInfo" localSheetId="15" hidden="1">#REF!</definedName>
    <definedName name="tbl_ProdInfo" localSheetId="12" hidden="1">#REF!</definedName>
    <definedName name="tbl_ProdInfo" localSheetId="29" hidden="1">#REF!</definedName>
    <definedName name="tbl_ProdInfo" localSheetId="18" hidden="1">#REF!</definedName>
    <definedName name="tbl_ProdInfo" localSheetId="22" hidden="1">#REF!</definedName>
    <definedName name="tbl_ProdInfo" localSheetId="19" hidden="1">#REF!</definedName>
    <definedName name="tdbcnckt" localSheetId="10">[21]!tdbcnckt</definedName>
    <definedName name="tdbcnckt" localSheetId="9">[21]!tdbcnckt</definedName>
    <definedName name="tdbcnckt" localSheetId="14">[21]!tdbcnckt</definedName>
    <definedName name="tdbcnckt" localSheetId="28">[21]!tdbcnckt</definedName>
    <definedName name="tdbcnckt" localSheetId="27">[21]!tdbcnckt</definedName>
    <definedName name="tdbcnckt" localSheetId="13">[21]!tdbcnckt</definedName>
    <definedName name="tdbcnckt" localSheetId="30">[21]!tdbcnckt</definedName>
    <definedName name="tdbcnckt" localSheetId="15">[21]!tdbcnckt</definedName>
    <definedName name="tdbcnckt" localSheetId="12">[21]!tdbcnckt</definedName>
    <definedName name="tdbcnckt" localSheetId="29">[21]!tdbcnckt</definedName>
    <definedName name="tdbcnckt" localSheetId="18">[21]!tdbcnckt</definedName>
    <definedName name="tdbcnckt" localSheetId="22">[21]!tdbcnckt</definedName>
    <definedName name="tdbcnckt" localSheetId="19">[21]!tdbcnckt</definedName>
    <definedName name="TH">[27]KHDTCC!$J$4,[27]KHDTCC!$L$4,[27]KHDTCC!$N$4,[27]KHDTCC!$P$4</definedName>
    <definedName name="tha" localSheetId="18" hidden="1">{"'Sheet1'!$L$16"}</definedName>
    <definedName name="thang10" localSheetId="18" hidden="1">{"'Sheet1'!$L$16"}</definedName>
    <definedName name="thanh" localSheetId="18" hidden="1">{"'Sheet1'!$L$16"}</definedName>
    <definedName name="thep">ROUNDUP('[6]Re-bar'!XFA1*'[6]Re-bar'!XFB1*'[6]Re-bar'!XFC1*'[6]Re-bar'!XFD1*7.85,0)</definedName>
    <definedName name="thepbuoc">NA()</definedName>
    <definedName name="thnah" localSheetId="18" hidden="1">{#N/A,#N/A,FALSE,"Chi tiÆt"}</definedName>
    <definedName name="thu" localSheetId="18" hidden="1">{"'Sheet1'!$L$16"}</definedName>
    <definedName name="thue">6</definedName>
    <definedName name="tinhqt" localSheetId="10">[17]!tinhqt</definedName>
    <definedName name="tinhqt" localSheetId="9">[17]!tinhqt</definedName>
    <definedName name="tinhqt" localSheetId="14">[17]!tinhqt</definedName>
    <definedName name="tinhqt" localSheetId="28">[17]!tinhqt</definedName>
    <definedName name="tinhqt" localSheetId="27">[17]!tinhqt</definedName>
    <definedName name="tinhqt" localSheetId="13">[17]!tinhqt</definedName>
    <definedName name="tinhqt" localSheetId="30">[17]!tinhqt</definedName>
    <definedName name="tinhqt" localSheetId="15">[17]!tinhqt</definedName>
    <definedName name="tinhqt" localSheetId="12">[17]!tinhqt</definedName>
    <definedName name="tinhqt" localSheetId="29">[17]!tinhqt</definedName>
    <definedName name="tinhqt" localSheetId="18">[17]!tinhqt</definedName>
    <definedName name="tinhqt" localSheetId="22">[17]!tinhqt</definedName>
    <definedName name="tinhqt" localSheetId="19">[17]!tinhqt</definedName>
    <definedName name="tkpdt" localSheetId="10">[17]!tkpdt</definedName>
    <definedName name="tkpdt" localSheetId="9">[17]!tkpdt</definedName>
    <definedName name="tkpdt" localSheetId="14">[17]!tkpdt</definedName>
    <definedName name="tkpdt" localSheetId="28">[17]!tkpdt</definedName>
    <definedName name="tkpdt" localSheetId="27">[17]!tkpdt</definedName>
    <definedName name="tkpdt" localSheetId="13">[17]!tkpdt</definedName>
    <definedName name="tkpdt" localSheetId="30">[17]!tkpdt</definedName>
    <definedName name="tkpdt" localSheetId="15">[17]!tkpdt</definedName>
    <definedName name="tkpdt" localSheetId="12">[17]!tkpdt</definedName>
    <definedName name="tkpdt" localSheetId="29">[17]!tkpdt</definedName>
    <definedName name="tkpdt" localSheetId="18">[17]!tkpdt</definedName>
    <definedName name="tkpdt" localSheetId="22">[17]!tkpdt</definedName>
    <definedName name="tkpdt" localSheetId="19">[17]!tkpdt</definedName>
    <definedName name="TKYB">"TKYB"</definedName>
    <definedName name="TRA" localSheetId="18" hidden="1">{"'Sheet1'!$L$16"}</definedName>
    <definedName name="tri" localSheetId="18" hidden="1">{"'Sheet1'!$L$16"}</definedName>
    <definedName name="UP" localSheetId="10">#REF!,#REF!,#REF!,#REF!,#REF!,#REF!,#REF!,#REF!,#REF!,#REF!,#REF!</definedName>
    <definedName name="UP" localSheetId="9">#REF!,#REF!,#REF!,#REF!,#REF!,#REF!,#REF!,#REF!,#REF!,#REF!,#REF!</definedName>
    <definedName name="UP" localSheetId="14">#REF!,#REF!,#REF!,#REF!,#REF!,#REF!,#REF!,#REF!,#REF!,#REF!,#REF!</definedName>
    <definedName name="UP" localSheetId="28">#REF!,#REF!,#REF!,#REF!,#REF!,#REF!,#REF!,#REF!,#REF!,#REF!,#REF!</definedName>
    <definedName name="UP" localSheetId="27">#REF!,#REF!,#REF!,#REF!,#REF!,#REF!,#REF!,#REF!,#REF!,#REF!,#REF!</definedName>
    <definedName name="UP" localSheetId="13">#REF!,#REF!,#REF!,#REF!,#REF!,#REF!,#REF!,#REF!,#REF!,#REF!,#REF!</definedName>
    <definedName name="UP" localSheetId="30">#REF!,#REF!,#REF!,#REF!,#REF!,#REF!,#REF!,#REF!,#REF!,#REF!,#REF!</definedName>
    <definedName name="UP" localSheetId="15">#REF!,#REF!,#REF!,#REF!,#REF!,#REF!,#REF!,#REF!,#REF!,#REF!,#REF!</definedName>
    <definedName name="UP" localSheetId="12">#REF!,#REF!,#REF!,#REF!,#REF!,#REF!,#REF!,#REF!,#REF!,#REF!,#REF!</definedName>
    <definedName name="UP" localSheetId="29">#REF!,#REF!,#REF!,#REF!,#REF!,#REF!,#REF!,#REF!,#REF!,#REF!,#REF!</definedName>
    <definedName name="UP" localSheetId="18">#REF!,#REF!,#REF!,#REF!,#REF!,#REF!,#REF!,#REF!,#REF!,#REF!,#REF!</definedName>
    <definedName name="UP" localSheetId="22">#REF!,#REF!,#REF!,#REF!,#REF!,#REF!,#REF!,#REF!,#REF!,#REF!,#REF!</definedName>
    <definedName name="UP" localSheetId="19">#REF!,#REF!,#REF!,#REF!,#REF!,#REF!,#REF!,#REF!,#REF!,#REF!,#REF!</definedName>
    <definedName name="VAÄT_LIEÄU">"ATRAM"</definedName>
    <definedName name="vaigiaco">NA()</definedName>
    <definedName name="vat">5</definedName>
    <definedName name="vatlieu">'[2]Gia VLHT'!$B$7:$J$210</definedName>
    <definedName name="VATM" localSheetId="18" hidden="1">{"'Sheet1'!$L$16"}</definedName>
    <definedName name="VATTbi" localSheetId="10">#REF!</definedName>
    <definedName name="VATTbi" localSheetId="9">#REF!</definedName>
    <definedName name="VATTbi" localSheetId="14">#REF!</definedName>
    <definedName name="VATTbi" localSheetId="13">#REF!</definedName>
    <definedName name="VATTbi" localSheetId="15">#REF!</definedName>
    <definedName name="VATTbi" localSheetId="12">#REF!</definedName>
    <definedName name="VATTbi" localSheetId="18">#REF!</definedName>
    <definedName name="VATTbi" localSheetId="19">#REF!</definedName>
    <definedName name="vatvc">5%</definedName>
    <definedName name="vatxl">10%</definedName>
    <definedName name="VCbo" localSheetId="10">#REF!</definedName>
    <definedName name="VCbo" localSheetId="9">#REF!</definedName>
    <definedName name="VCbo" localSheetId="14">#REF!</definedName>
    <definedName name="VCbo" localSheetId="13">#REF!</definedName>
    <definedName name="VCbo" localSheetId="15">#REF!</definedName>
    <definedName name="VCbo" localSheetId="12">#REF!</definedName>
    <definedName name="VCbo" localSheetId="18">#REF!</definedName>
    <definedName name="VCbo" localSheetId="19">#REF!</definedName>
    <definedName name="VCNBo" localSheetId="10">#REF!</definedName>
    <definedName name="VCNBo" localSheetId="9">#REF!</definedName>
    <definedName name="VCNBo" localSheetId="14">#REF!</definedName>
    <definedName name="VCNBo" localSheetId="13">#REF!</definedName>
    <definedName name="VCNBo" localSheetId="15">#REF!</definedName>
    <definedName name="VCNBo" localSheetId="12">#REF!</definedName>
    <definedName name="VCNBo" localSheetId="18">#REF!</definedName>
    <definedName name="VCNBo" localSheetId="19">#REF!</definedName>
    <definedName name="VCThuy" localSheetId="10">#REF!</definedName>
    <definedName name="VCThuy" localSheetId="9">#REF!</definedName>
    <definedName name="VCThuy" localSheetId="14">#REF!</definedName>
    <definedName name="VCThuy" localSheetId="13">#REF!</definedName>
    <definedName name="VCThuy" localSheetId="15">#REF!</definedName>
    <definedName name="VCThuy" localSheetId="12">#REF!</definedName>
    <definedName name="VCThuy" localSheetId="18">#REF!</definedName>
    <definedName name="VCThuy" localSheetId="19">#REF!</definedName>
    <definedName name="Vgiaco">NA()</definedName>
    <definedName name="vlct" localSheetId="18" hidden="1">{"'Sheet1'!$L$16"}</definedName>
    <definedName name="wrn.aaa." localSheetId="18" hidden="1">{#N/A,#N/A,FALSE,"Sheet1";#N/A,#N/A,FALSE,"Sheet1";#N/A,#N/A,FALSE,"Sheet1"}</definedName>
    <definedName name="wrn.chi._.tiÆt." localSheetId="18" hidden="1">{#N/A,#N/A,FALSE,"Chi tiÆt"}</definedName>
    <definedName name="wrn.cong." localSheetId="18" hidden="1">{#N/A,#N/A,FALSE,"Sheet1"}</definedName>
    <definedName name="wrn.Report." localSheetId="18" hidden="1">{"Offgrid",#N/A,FALSE,"OFFGRID";"Region",#N/A,FALSE,"REGION";"Offgrid -2",#N/A,FALSE,"OFFGRID";"WTP",#N/A,FALSE,"WTP";"WTP -2",#N/A,FALSE,"WTP";"Project",#N/A,FALSE,"PROJECT";"Summary -2",#N/A,FALSE,"SUMMARY"}</definedName>
    <definedName name="wrn.Work._.Report." localSheetId="18" hidden="1">{"accomplishment",#N/A,FALSE,"Summary Week 3"}</definedName>
    <definedName name="wrnf.report" localSheetId="18" hidden="1">{"Offgrid",#N/A,FALSE,"OFFGRID";"Region",#N/A,FALSE,"REGION";"Offgrid -2",#N/A,FALSE,"OFFGRID";"WTP",#N/A,FALSE,"WTP";"WTP -2",#N/A,FALSE,"WTP";"Project",#N/A,FALSE,"PROJECT";"Summary -2",#N/A,FALSE,"SUMMARY"}</definedName>
    <definedName name="XCCT">0.5</definedName>
    <definedName name="xd">NA()</definedName>
    <definedName name="ximang" localSheetId="10">[1]Sheet1!#REF!,[1]Sheet1!#REF!,[1]Sheet1!#REF!,[1]Sheet1!#REF!,[1]Sheet1!#REF!</definedName>
    <definedName name="ximang" localSheetId="9">[1]Sheet1!#REF!,[1]Sheet1!#REF!,[1]Sheet1!#REF!,[1]Sheet1!#REF!,[1]Sheet1!#REF!</definedName>
    <definedName name="ximang" localSheetId="14">[1]Sheet1!#REF!,[1]Sheet1!#REF!,[1]Sheet1!#REF!,[1]Sheet1!#REF!,[1]Sheet1!#REF!</definedName>
    <definedName name="ximang" localSheetId="28">[1]Sheet1!#REF!,[1]Sheet1!#REF!,[1]Sheet1!#REF!,[1]Sheet1!#REF!,[1]Sheet1!#REF!</definedName>
    <definedName name="ximang" localSheetId="27">[1]Sheet1!#REF!,[1]Sheet1!#REF!,[1]Sheet1!#REF!,[1]Sheet1!#REF!,[1]Sheet1!#REF!</definedName>
    <definedName name="ximang" localSheetId="13">[1]Sheet1!#REF!,[1]Sheet1!#REF!,[1]Sheet1!#REF!,[1]Sheet1!#REF!,[1]Sheet1!#REF!</definedName>
    <definedName name="ximang" localSheetId="30">[1]Sheet1!#REF!,[1]Sheet1!#REF!,[1]Sheet1!#REF!,[1]Sheet1!#REF!,[1]Sheet1!#REF!</definedName>
    <definedName name="ximang" localSheetId="15">[1]Sheet1!#REF!,[1]Sheet1!#REF!,[1]Sheet1!#REF!,[1]Sheet1!#REF!,[1]Sheet1!#REF!</definedName>
    <definedName name="ximang" localSheetId="12">[1]Sheet1!#REF!,[1]Sheet1!#REF!,[1]Sheet1!#REF!,[1]Sheet1!#REF!,[1]Sheet1!#REF!</definedName>
    <definedName name="ximang" localSheetId="29">[1]Sheet1!#REF!,[1]Sheet1!#REF!,[1]Sheet1!#REF!,[1]Sheet1!#REF!,[1]Sheet1!#REF!</definedName>
    <definedName name="ximang" localSheetId="18">[1]Sheet1!#REF!,[1]Sheet1!#REF!,[1]Sheet1!#REF!,[1]Sheet1!#REF!,[1]Sheet1!#REF!</definedName>
    <definedName name="ximang" localSheetId="22">[1]Sheet1!#REF!,[1]Sheet1!#REF!,[1]Sheet1!#REF!,[1]Sheet1!#REF!,[1]Sheet1!#REF!</definedName>
    <definedName name="ximang" localSheetId="19">[1]Sheet1!#REF!,[1]Sheet1!#REF!,[1]Sheet1!#REF!,[1]Sheet1!#REF!,[1]Sheet1!#REF!</definedName>
    <definedName name="zgh" localSheetId="18" hidden="1">{#N/A,#N/A,FALSE,"Chi tiÆt"}</definedName>
    <definedName name="ZXzX" localSheetId="18" hidden="1">{"'Sheet1'!$L$16"}</definedName>
  </definedNames>
  <calcPr calcId="124519"/>
</workbook>
</file>

<file path=xl/calcChain.xml><?xml version="1.0" encoding="utf-8"?>
<calcChain xmlns="http://schemas.openxmlformats.org/spreadsheetml/2006/main">
  <c r="C11" i="119"/>
  <c r="K115" i="112" l="1"/>
  <c r="K116"/>
  <c r="K117"/>
  <c r="K118"/>
  <c r="G19"/>
  <c r="J19" s="1"/>
  <c r="K19" s="1"/>
  <c r="G20"/>
  <c r="J20" s="1"/>
  <c r="K20" s="1"/>
  <c r="G21"/>
  <c r="J21" s="1"/>
  <c r="K21" s="1"/>
  <c r="G22"/>
  <c r="J22" s="1"/>
  <c r="K22" s="1"/>
  <c r="G23"/>
  <c r="J23" s="1"/>
  <c r="K23" s="1"/>
  <c r="G24"/>
  <c r="J24" s="1"/>
  <c r="K24" s="1"/>
  <c r="G25"/>
  <c r="J25" s="1"/>
  <c r="K25" s="1"/>
  <c r="G26"/>
  <c r="J26" s="1"/>
  <c r="K26" s="1"/>
  <c r="G27"/>
  <c r="J27" s="1"/>
  <c r="K27" s="1"/>
  <c r="G28"/>
  <c r="J28" s="1"/>
  <c r="K28" s="1"/>
  <c r="G29"/>
  <c r="J29" s="1"/>
  <c r="K29" s="1"/>
  <c r="G30"/>
  <c r="J30" s="1"/>
  <c r="K30" s="1"/>
  <c r="G31"/>
  <c r="J31" s="1"/>
  <c r="K31" s="1"/>
  <c r="G32"/>
  <c r="J32" s="1"/>
  <c r="K32" s="1"/>
  <c r="G33"/>
  <c r="J33" s="1"/>
  <c r="K33" s="1"/>
  <c r="G34"/>
  <c r="J34" s="1"/>
  <c r="K34" s="1"/>
  <c r="G35"/>
  <c r="J35" s="1"/>
  <c r="K35" s="1"/>
  <c r="G36"/>
  <c r="J36" s="1"/>
  <c r="K36" s="1"/>
  <c r="G37"/>
  <c r="J37" s="1"/>
  <c r="K37" s="1"/>
  <c r="G38"/>
  <c r="J38" s="1"/>
  <c r="K38" s="1"/>
  <c r="G39"/>
  <c r="J39" s="1"/>
  <c r="K39" s="1"/>
  <c r="G40"/>
  <c r="J40" s="1"/>
  <c r="K40" s="1"/>
  <c r="G41"/>
  <c r="J41" s="1"/>
  <c r="K41" s="1"/>
  <c r="G42"/>
  <c r="J42" s="1"/>
  <c r="K42" s="1"/>
  <c r="G43"/>
  <c r="J43" s="1"/>
  <c r="K43" s="1"/>
  <c r="G44"/>
  <c r="J44" s="1"/>
  <c r="K44" s="1"/>
  <c r="G45"/>
  <c r="J45" s="1"/>
  <c r="K45" s="1"/>
  <c r="G46"/>
  <c r="J46" s="1"/>
  <c r="K46" s="1"/>
  <c r="G47"/>
  <c r="J47" s="1"/>
  <c r="K47" s="1"/>
  <c r="G48"/>
  <c r="J48" s="1"/>
  <c r="K48" s="1"/>
  <c r="G49"/>
  <c r="J49" s="1"/>
  <c r="K49" s="1"/>
  <c r="G50"/>
  <c r="J50" s="1"/>
  <c r="K50" s="1"/>
  <c r="G51"/>
  <c r="J51" s="1"/>
  <c r="K51" s="1"/>
  <c r="G52"/>
  <c r="J52" s="1"/>
  <c r="K52" s="1"/>
  <c r="G53"/>
  <c r="J53" s="1"/>
  <c r="K53" s="1"/>
  <c r="G54"/>
  <c r="J54" s="1"/>
  <c r="K54" s="1"/>
  <c r="G55"/>
  <c r="J55" s="1"/>
  <c r="K55" s="1"/>
  <c r="G56"/>
  <c r="J56" s="1"/>
  <c r="K56" s="1"/>
  <c r="G57"/>
  <c r="J57" s="1"/>
  <c r="K57" s="1"/>
  <c r="G58"/>
  <c r="J58" s="1"/>
  <c r="K58" s="1"/>
  <c r="G59"/>
  <c r="J59" s="1"/>
  <c r="K59" s="1"/>
  <c r="G60"/>
  <c r="J60" s="1"/>
  <c r="K60" s="1"/>
  <c r="G61"/>
  <c r="J61" s="1"/>
  <c r="K61" s="1"/>
  <c r="G62"/>
  <c r="J62" s="1"/>
  <c r="K62" s="1"/>
  <c r="G63"/>
  <c r="J63" s="1"/>
  <c r="K63" s="1"/>
  <c r="G64"/>
  <c r="J64" s="1"/>
  <c r="K64" s="1"/>
  <c r="G65"/>
  <c r="J65" s="1"/>
  <c r="K65" s="1"/>
  <c r="G66"/>
  <c r="J66" s="1"/>
  <c r="K66" s="1"/>
  <c r="G67"/>
  <c r="J67" s="1"/>
  <c r="K67" s="1"/>
  <c r="G68"/>
  <c r="J68" s="1"/>
  <c r="K68" s="1"/>
  <c r="G69"/>
  <c r="J69" s="1"/>
  <c r="K69" s="1"/>
  <c r="G70"/>
  <c r="J70" s="1"/>
  <c r="K70" s="1"/>
  <c r="G71"/>
  <c r="J71" s="1"/>
  <c r="K71" s="1"/>
  <c r="G72"/>
  <c r="J72" s="1"/>
  <c r="K72" s="1"/>
  <c r="G73"/>
  <c r="J73" s="1"/>
  <c r="K73" s="1"/>
  <c r="G74"/>
  <c r="J74" s="1"/>
  <c r="K74" s="1"/>
  <c r="G75"/>
  <c r="J75" s="1"/>
  <c r="K75" s="1"/>
  <c r="G76"/>
  <c r="J76" s="1"/>
  <c r="K76" s="1"/>
  <c r="G77"/>
  <c r="J77" s="1"/>
  <c r="K77" s="1"/>
  <c r="G78"/>
  <c r="J78" s="1"/>
  <c r="K78" s="1"/>
  <c r="G79"/>
  <c r="J79" s="1"/>
  <c r="K79" s="1"/>
  <c r="G80"/>
  <c r="J80" s="1"/>
  <c r="K80" s="1"/>
  <c r="G81"/>
  <c r="J81" s="1"/>
  <c r="K81" s="1"/>
  <c r="G82"/>
  <c r="J82" s="1"/>
  <c r="K82" s="1"/>
  <c r="G83"/>
  <c r="J83" s="1"/>
  <c r="K83" s="1"/>
  <c r="G84"/>
  <c r="J84" s="1"/>
  <c r="K84" s="1"/>
  <c r="G85"/>
  <c r="J85" s="1"/>
  <c r="K85" s="1"/>
  <c r="G86"/>
  <c r="J86" s="1"/>
  <c r="K86" s="1"/>
  <c r="G87"/>
  <c r="J87" s="1"/>
  <c r="K87" s="1"/>
  <c r="G88"/>
  <c r="J88" s="1"/>
  <c r="K88" s="1"/>
  <c r="G89"/>
  <c r="J89" s="1"/>
  <c r="K89" s="1"/>
  <c r="G90"/>
  <c r="J90" s="1"/>
  <c r="K90" s="1"/>
  <c r="G91"/>
  <c r="J91" s="1"/>
  <c r="K91" s="1"/>
  <c r="G92"/>
  <c r="J92" s="1"/>
  <c r="K92" s="1"/>
  <c r="G93"/>
  <c r="J93" s="1"/>
  <c r="K93" s="1"/>
  <c r="G94"/>
  <c r="J94" s="1"/>
  <c r="K94" s="1"/>
  <c r="G95"/>
  <c r="J95" s="1"/>
  <c r="K95" s="1"/>
  <c r="G96"/>
  <c r="J96" s="1"/>
  <c r="K96" s="1"/>
  <c r="G97"/>
  <c r="J97" s="1"/>
  <c r="K97" s="1"/>
  <c r="G98"/>
  <c r="J98" s="1"/>
  <c r="K98" s="1"/>
  <c r="G99"/>
  <c r="J99" s="1"/>
  <c r="K99" s="1"/>
  <c r="G100"/>
  <c r="J100" s="1"/>
  <c r="K100" s="1"/>
  <c r="G101"/>
  <c r="J101" s="1"/>
  <c r="K101" s="1"/>
  <c r="G102"/>
  <c r="J102" s="1"/>
  <c r="K102" s="1"/>
  <c r="G103"/>
  <c r="J103" s="1"/>
  <c r="K103" s="1"/>
  <c r="G104"/>
  <c r="J104" s="1"/>
  <c r="K104" s="1"/>
  <c r="G105"/>
  <c r="J105" s="1"/>
  <c r="K105" s="1"/>
  <c r="G106"/>
  <c r="J106" s="1"/>
  <c r="K106" s="1"/>
  <c r="G107"/>
  <c r="J107" s="1"/>
  <c r="K107" s="1"/>
  <c r="G108"/>
  <c r="J108" s="1"/>
  <c r="K108" s="1"/>
  <c r="G109"/>
  <c r="J109" s="1"/>
  <c r="K109" s="1"/>
  <c r="G110"/>
  <c r="J110" s="1"/>
  <c r="K110" s="1"/>
  <c r="G111"/>
  <c r="J111" s="1"/>
  <c r="K111" s="1"/>
  <c r="G18"/>
  <c r="J18" s="1"/>
  <c r="K18" s="1"/>
  <c r="L119" l="1"/>
  <c r="N118"/>
  <c r="N116"/>
  <c r="J17"/>
  <c r="M116" l="1"/>
  <c r="M29"/>
  <c r="N33"/>
  <c r="M36"/>
  <c r="N38"/>
  <c r="M40"/>
  <c r="N42"/>
  <c r="N44"/>
  <c r="N46"/>
  <c r="M48"/>
  <c r="N49"/>
  <c r="M51"/>
  <c r="N54"/>
  <c r="M56"/>
  <c r="N57"/>
  <c r="M58"/>
  <c r="N59"/>
  <c r="M61"/>
  <c r="N62"/>
  <c r="N63"/>
  <c r="N64"/>
  <c r="M65"/>
  <c r="N66"/>
  <c r="N67"/>
  <c r="N68"/>
  <c r="M69"/>
  <c r="N70"/>
  <c r="N71"/>
  <c r="N72"/>
  <c r="M73"/>
  <c r="N74"/>
  <c r="N75"/>
  <c r="N76"/>
  <c r="M77"/>
  <c r="N78"/>
  <c r="N79"/>
  <c r="N80"/>
  <c r="M81"/>
  <c r="N82"/>
  <c r="N83"/>
  <c r="N84"/>
  <c r="M33"/>
  <c r="M38"/>
  <c r="N40"/>
  <c r="M42"/>
  <c r="M44"/>
  <c r="M46"/>
  <c r="N48"/>
  <c r="N51"/>
  <c r="N56"/>
  <c r="N58"/>
  <c r="N61"/>
  <c r="M62"/>
  <c r="M63"/>
  <c r="M64"/>
  <c r="N65"/>
  <c r="M66"/>
  <c r="M67"/>
  <c r="M68"/>
  <c r="N69"/>
  <c r="M70"/>
  <c r="M71"/>
  <c r="M72"/>
  <c r="N73"/>
  <c r="M74"/>
  <c r="M75"/>
  <c r="M76"/>
  <c r="N77"/>
  <c r="M78"/>
  <c r="M79"/>
  <c r="M80"/>
  <c r="N81"/>
  <c r="M82"/>
  <c r="M83"/>
  <c r="M84"/>
  <c r="N36"/>
  <c r="M49"/>
  <c r="M54"/>
  <c r="M57"/>
  <c r="M59"/>
  <c r="N115"/>
  <c r="N117"/>
  <c r="M118"/>
  <c r="M115"/>
  <c r="M117"/>
  <c r="M55" l="1"/>
  <c r="N55"/>
  <c r="N52"/>
  <c r="M52"/>
  <c r="M47"/>
  <c r="N47"/>
  <c r="M43"/>
  <c r="N43"/>
  <c r="M39"/>
  <c r="N39"/>
  <c r="M35"/>
  <c r="N35"/>
  <c r="N60"/>
  <c r="M60"/>
  <c r="N53"/>
  <c r="M53"/>
  <c r="M50"/>
  <c r="N50"/>
  <c r="N45"/>
  <c r="M45"/>
  <c r="N41"/>
  <c r="M41"/>
  <c r="N37"/>
  <c r="M37"/>
  <c r="M34"/>
  <c r="N34"/>
  <c r="M28"/>
  <c r="M30"/>
  <c r="N111"/>
  <c r="M111"/>
  <c r="N109"/>
  <c r="M109"/>
  <c r="N107"/>
  <c r="M107"/>
  <c r="N105"/>
  <c r="M105"/>
  <c r="N103"/>
  <c r="M103"/>
  <c r="N101"/>
  <c r="M101"/>
  <c r="N99"/>
  <c r="M99"/>
  <c r="N97"/>
  <c r="M97"/>
  <c r="N95"/>
  <c r="M95"/>
  <c r="N93"/>
  <c r="M93"/>
  <c r="N91"/>
  <c r="M91"/>
  <c r="N89"/>
  <c r="M89"/>
  <c r="N87"/>
  <c r="M87"/>
  <c r="N31"/>
  <c r="M31"/>
  <c r="N110"/>
  <c r="M110"/>
  <c r="N108"/>
  <c r="M108"/>
  <c r="N106"/>
  <c r="M106"/>
  <c r="N104"/>
  <c r="M104"/>
  <c r="N102"/>
  <c r="M102"/>
  <c r="N100"/>
  <c r="M100"/>
  <c r="N98"/>
  <c r="M98"/>
  <c r="N96"/>
  <c r="M96"/>
  <c r="N94"/>
  <c r="M94"/>
  <c r="N92"/>
  <c r="M92"/>
  <c r="N90"/>
  <c r="M90"/>
  <c r="N88"/>
  <c r="M88"/>
  <c r="N86"/>
  <c r="M86"/>
  <c r="N32"/>
  <c r="M32"/>
  <c r="N85"/>
  <c r="M85"/>
  <c r="J15"/>
  <c r="K15" s="1"/>
  <c r="J112" l="1"/>
  <c r="K112" s="1"/>
  <c r="J113" l="1"/>
  <c r="K113" s="1"/>
  <c r="J114" l="1"/>
  <c r="K114" s="1"/>
  <c r="N113"/>
  <c r="M113"/>
  <c r="N112"/>
  <c r="M112"/>
  <c r="J119" l="1"/>
  <c r="K119" l="1"/>
  <c r="M119" s="1"/>
  <c r="N114"/>
  <c r="M114"/>
  <c r="N119"/>
  <c r="D11" i="119" l="1"/>
  <c r="E11" l="1"/>
  <c r="F392" i="105" l="1"/>
  <c r="F391"/>
  <c r="F390"/>
  <c r="F389"/>
  <c r="F388"/>
  <c r="F387"/>
  <c r="F386"/>
  <c r="F385"/>
  <c r="F384"/>
  <c r="F383" s="1"/>
  <c r="F382"/>
  <c r="F381"/>
  <c r="F380"/>
  <c r="F379"/>
  <c r="F378"/>
  <c r="F377"/>
  <c r="F376"/>
  <c r="F375" s="1"/>
  <c r="F374"/>
  <c r="F373"/>
  <c r="F372"/>
  <c r="F371"/>
  <c r="F370"/>
  <c r="F369"/>
  <c r="F368"/>
  <c r="F367"/>
  <c r="F366"/>
  <c r="F365"/>
  <c r="F364"/>
  <c r="F363"/>
  <c r="F362"/>
  <c r="F361"/>
  <c r="F360"/>
  <c r="F359"/>
  <c r="F358"/>
  <c r="F357"/>
  <c r="F356"/>
  <c r="F355"/>
  <c r="F354"/>
  <c r="F353"/>
  <c r="F352"/>
  <c r="F351"/>
  <c r="F350"/>
  <c r="F349"/>
  <c r="F348"/>
  <c r="F347"/>
  <c r="F346"/>
  <c r="F345"/>
  <c r="F344"/>
  <c r="F343"/>
  <c r="F342"/>
  <c r="F341"/>
  <c r="F340"/>
  <c r="F339"/>
  <c r="F338"/>
  <c r="F337"/>
  <c r="F336"/>
  <c r="F335"/>
  <c r="F334"/>
  <c r="F333"/>
  <c r="F332"/>
  <c r="F331"/>
  <c r="F330"/>
  <c r="F329"/>
  <c r="F328"/>
  <c r="F327"/>
  <c r="F326"/>
  <c r="F325"/>
  <c r="F324"/>
  <c r="F323"/>
  <c r="F322"/>
  <c r="F321"/>
  <c r="F320"/>
  <c r="F319"/>
  <c r="F318"/>
  <c r="F317"/>
  <c r="F316"/>
  <c r="F315"/>
  <c r="F314"/>
  <c r="F313"/>
  <c r="F312"/>
  <c r="F311"/>
  <c r="F310"/>
  <c r="F309"/>
  <c r="F308"/>
  <c r="F307"/>
  <c r="F306"/>
  <c r="F305"/>
  <c r="F304"/>
  <c r="F303"/>
  <c r="F302"/>
  <c r="F301"/>
  <c r="F300"/>
  <c r="F299"/>
  <c r="F298"/>
  <c r="F297" s="1"/>
  <c r="F295"/>
  <c r="F294"/>
  <c r="F293"/>
  <c r="F292"/>
  <c r="F291" s="1"/>
  <c r="F290"/>
  <c r="F289"/>
  <c r="F288"/>
  <c r="F287"/>
  <c r="F286"/>
  <c r="F285"/>
  <c r="F284"/>
  <c r="F283"/>
  <c r="F282"/>
  <c r="F281"/>
  <c r="F280"/>
  <c r="F279"/>
  <c r="F278"/>
  <c r="F277"/>
  <c r="F276"/>
  <c r="F275"/>
  <c r="F274"/>
  <c r="F273"/>
  <c r="F272"/>
  <c r="F271"/>
  <c r="F270"/>
  <c r="F269"/>
  <c r="F268"/>
  <c r="F267"/>
  <c r="F266"/>
  <c r="F265"/>
  <c r="F264"/>
  <c r="F263"/>
  <c r="F262"/>
  <c r="F261"/>
  <c r="F260"/>
  <c r="F259"/>
  <c r="F258"/>
  <c r="F257"/>
  <c r="F256"/>
  <c r="F255"/>
  <c r="F254"/>
  <c r="F253"/>
  <c r="F252"/>
  <c r="F251"/>
  <c r="F250"/>
  <c r="F249"/>
  <c r="F248"/>
  <c r="F247"/>
  <c r="F246"/>
  <c r="F245"/>
  <c r="F244"/>
  <c r="F243"/>
  <c r="F242"/>
  <c r="F241"/>
  <c r="F240"/>
  <c r="F239"/>
  <c r="F238"/>
  <c r="F237"/>
  <c r="F236"/>
  <c r="F235"/>
  <c r="F234"/>
  <c r="F233"/>
  <c r="F232"/>
  <c r="F231"/>
  <c r="F230"/>
  <c r="F229"/>
  <c r="F228"/>
  <c r="F227"/>
  <c r="F226"/>
  <c r="F225"/>
  <c r="F224"/>
  <c r="F223"/>
  <c r="F222"/>
  <c r="F221"/>
  <c r="F220"/>
  <c r="F219"/>
  <c r="F218"/>
  <c r="F217"/>
  <c r="F216"/>
  <c r="F215"/>
  <c r="F214"/>
  <c r="F213"/>
  <c r="F212"/>
  <c r="F211"/>
  <c r="F210"/>
  <c r="F209"/>
  <c r="F208"/>
  <c r="F207"/>
  <c r="F206"/>
  <c r="F205"/>
  <c r="F204"/>
  <c r="F203"/>
  <c r="F202"/>
  <c r="F201"/>
  <c r="F200" s="1"/>
  <c r="F198"/>
  <c r="F197"/>
  <c r="F196"/>
  <c r="F195"/>
  <c r="F194"/>
  <c r="F193"/>
  <c r="F192"/>
  <c r="F191"/>
  <c r="F190"/>
  <c r="F189" s="1"/>
  <c r="F188"/>
  <c r="F187"/>
  <c r="F186"/>
  <c r="F185"/>
  <c r="F184"/>
  <c r="F183"/>
  <c r="F182"/>
  <c r="F181" s="1"/>
  <c r="F180"/>
  <c r="F179"/>
  <c r="F178"/>
  <c r="F177"/>
  <c r="F176"/>
  <c r="F175"/>
  <c r="F174"/>
  <c r="F173"/>
  <c r="F172"/>
  <c r="F171" s="1"/>
  <c r="F170"/>
  <c r="F169"/>
  <c r="F168"/>
  <c r="F167"/>
  <c r="F166"/>
  <c r="F165"/>
  <c r="F164"/>
  <c r="F163"/>
  <c r="F162"/>
  <c r="F161"/>
  <c r="F160"/>
  <c r="F159"/>
  <c r="F158"/>
  <c r="F157"/>
  <c r="F156"/>
  <c r="F155"/>
  <c r="F154"/>
  <c r="F153"/>
  <c r="F152"/>
  <c r="F151"/>
  <c r="F150"/>
  <c r="F149"/>
  <c r="F148"/>
  <c r="F147"/>
  <c r="F146"/>
  <c r="F145"/>
  <c r="F144"/>
  <c r="F143"/>
  <c r="F142"/>
  <c r="F141"/>
  <c r="F140"/>
  <c r="F139" s="1"/>
  <c r="F138"/>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s="1"/>
  <c r="F101"/>
  <c r="F100"/>
  <c r="F99"/>
  <c r="F98"/>
  <c r="F97" s="1"/>
  <c r="F96"/>
  <c r="F95"/>
  <c r="F94"/>
  <c r="F93"/>
  <c r="F92"/>
  <c r="F91"/>
  <c r="F90"/>
  <c r="F89"/>
  <c r="F88"/>
  <c r="F87"/>
  <c r="F86"/>
  <c r="F85"/>
  <c r="F84" s="1"/>
  <c r="F83"/>
  <c r="F82"/>
  <c r="F81"/>
  <c r="F80"/>
  <c r="F79"/>
  <c r="F78"/>
  <c r="F77"/>
  <c r="F76"/>
  <c r="F75"/>
  <c r="F74"/>
  <c r="F73"/>
  <c r="F72"/>
  <c r="F71"/>
  <c r="F70" s="1"/>
  <c r="F69"/>
  <c r="F68"/>
  <c r="F67"/>
  <c r="F66"/>
  <c r="F65"/>
  <c r="F64"/>
  <c r="F63"/>
  <c r="F62"/>
  <c r="F61"/>
  <c r="F60"/>
  <c r="F59"/>
  <c r="F58"/>
  <c r="F57"/>
  <c r="F56" s="1"/>
  <c r="F55"/>
  <c r="F54"/>
  <c r="F53"/>
  <c r="F52"/>
  <c r="F51"/>
  <c r="F50"/>
  <c r="F49"/>
  <c r="F48"/>
  <c r="F47"/>
  <c r="F46"/>
  <c r="F45"/>
  <c r="F44"/>
  <c r="F43"/>
  <c r="F42"/>
  <c r="F41"/>
  <c r="F40"/>
  <c r="F39"/>
  <c r="F38"/>
  <c r="F37"/>
  <c r="F36"/>
  <c r="F35"/>
  <c r="F34"/>
  <c r="F33"/>
  <c r="F32"/>
  <c r="F31"/>
  <c r="F30"/>
  <c r="F29"/>
  <c r="F28"/>
  <c r="F27"/>
  <c r="F26"/>
  <c r="F25"/>
  <c r="F24"/>
  <c r="F23"/>
  <c r="F22"/>
  <c r="F21"/>
  <c r="F20"/>
  <c r="F19" s="1"/>
  <c r="F18"/>
  <c r="F17"/>
  <c r="F16"/>
  <c r="F15"/>
  <c r="F14"/>
  <c r="F13"/>
  <c r="F12"/>
  <c r="F11"/>
  <c r="F10"/>
  <c r="F9"/>
  <c r="F8"/>
  <c r="F7"/>
  <c r="F6" s="1"/>
  <c r="H7" l="1"/>
  <c r="H8"/>
  <c r="H9"/>
  <c r="H10"/>
  <c r="H11"/>
  <c r="H12"/>
  <c r="H13"/>
  <c r="H14"/>
  <c r="H15"/>
  <c r="H16"/>
  <c r="H17"/>
  <c r="H18"/>
  <c r="H20"/>
  <c r="H21"/>
  <c r="H22"/>
  <c r="H23"/>
  <c r="H24"/>
  <c r="H25"/>
  <c r="H26"/>
  <c r="H27"/>
  <c r="H28"/>
  <c r="H29"/>
  <c r="H30"/>
  <c r="H31"/>
  <c r="H32"/>
  <c r="H33"/>
  <c r="H34"/>
  <c r="H35"/>
  <c r="H36"/>
  <c r="H37"/>
  <c r="H38"/>
  <c r="H39"/>
  <c r="H40"/>
  <c r="H41"/>
  <c r="H43"/>
  <c r="H44"/>
  <c r="H45"/>
  <c r="H46"/>
  <c r="H47"/>
  <c r="H48"/>
  <c r="H49"/>
  <c r="H50"/>
  <c r="H51"/>
  <c r="H52"/>
  <c r="H53"/>
  <c r="H54"/>
  <c r="H55"/>
  <c r="H57"/>
  <c r="H58"/>
  <c r="H59"/>
  <c r="H60"/>
  <c r="H61"/>
  <c r="H62"/>
  <c r="H63"/>
  <c r="H64"/>
  <c r="H65"/>
  <c r="H66"/>
  <c r="H67"/>
  <c r="H68"/>
  <c r="H69"/>
  <c r="H71"/>
  <c r="H72"/>
  <c r="H73"/>
  <c r="H75"/>
  <c r="H76"/>
  <c r="H77"/>
  <c r="H78"/>
  <c r="H79"/>
  <c r="H80"/>
  <c r="H81"/>
  <c r="H82"/>
  <c r="H83"/>
  <c r="H85"/>
  <c r="H86"/>
  <c r="H87"/>
  <c r="H88"/>
  <c r="H89"/>
  <c r="H90"/>
  <c r="H91"/>
  <c r="H93"/>
  <c r="H94"/>
  <c r="H95"/>
  <c r="H96"/>
  <c r="H98"/>
  <c r="H99"/>
  <c r="H100"/>
  <c r="H101"/>
  <c r="H97" l="1"/>
  <c r="I97" s="1"/>
  <c r="H19"/>
  <c r="I19" s="1"/>
  <c r="H6"/>
  <c r="I6" s="1"/>
  <c r="H92"/>
  <c r="I92" s="1"/>
  <c r="H84"/>
  <c r="I84" s="1"/>
  <c r="H74"/>
  <c r="I74" s="1"/>
  <c r="H70"/>
  <c r="I70" s="1"/>
  <c r="H56"/>
  <c r="I56" s="1"/>
  <c r="H42"/>
  <c r="I42" s="1"/>
  <c r="H9" i="78" l="1"/>
  <c r="H10"/>
  <c r="H11"/>
  <c r="H12"/>
  <c r="H13"/>
  <c r="H14"/>
  <c r="H15"/>
  <c r="H16"/>
  <c r="H17"/>
  <c r="H18"/>
  <c r="H8"/>
  <c r="G33"/>
  <c r="G32" l="1"/>
  <c r="E61"/>
  <c r="K31"/>
  <c r="E31"/>
  <c r="G31" s="1"/>
  <c r="G30"/>
  <c r="E60"/>
  <c r="G60" s="1"/>
  <c r="G59"/>
  <c r="G63"/>
  <c r="E29"/>
  <c r="E64"/>
  <c r="G64" s="1"/>
  <c r="E38"/>
  <c r="E41"/>
  <c r="E39"/>
  <c r="E45"/>
  <c r="E46"/>
  <c r="H44"/>
  <c r="E58"/>
  <c r="E57"/>
  <c r="I17" i="81"/>
  <c r="G17"/>
  <c r="I16"/>
  <c r="G16"/>
  <c r="I15"/>
  <c r="G15"/>
  <c r="I14"/>
  <c r="G14"/>
  <c r="D14"/>
  <c r="F14" s="1"/>
  <c r="H14" s="1"/>
  <c r="J14" s="1"/>
  <c r="I13"/>
  <c r="F13"/>
  <c r="H13" s="1"/>
  <c r="J13" s="1"/>
  <c r="D13"/>
  <c r="I12"/>
  <c r="H12"/>
  <c r="J12" s="1"/>
  <c r="F12"/>
  <c r="I11"/>
  <c r="I10"/>
  <c r="I9"/>
  <c r="G9"/>
  <c r="I8"/>
  <c r="G8"/>
  <c r="I7"/>
  <c r="D7"/>
  <c r="D8" s="1"/>
  <c r="I6"/>
  <c r="F6"/>
  <c r="H6" s="1"/>
  <c r="J6" s="1"/>
  <c r="E42" i="78"/>
  <c r="E49"/>
  <c r="E50"/>
  <c r="E48"/>
  <c r="I16" i="82"/>
  <c r="F16"/>
  <c r="H16" s="1"/>
  <c r="J16" s="1"/>
  <c r="I15"/>
  <c r="I14"/>
  <c r="I13"/>
  <c r="I12"/>
  <c r="I11"/>
  <c r="F11"/>
  <c r="H11" s="1"/>
  <c r="J11" s="1"/>
  <c r="I10"/>
  <c r="F10"/>
  <c r="H10" s="1"/>
  <c r="J10" s="1"/>
  <c r="I9"/>
  <c r="F9"/>
  <c r="H9" s="1"/>
  <c r="J9" s="1"/>
  <c r="I8"/>
  <c r="F8"/>
  <c r="H8" s="1"/>
  <c r="J8" s="1"/>
  <c r="I7"/>
  <c r="F7"/>
  <c r="H7" s="1"/>
  <c r="J7" s="1"/>
  <c r="L6"/>
  <c r="I6"/>
  <c r="G6"/>
  <c r="F6"/>
  <c r="H6" s="1"/>
  <c r="E44" i="78" l="1"/>
  <c r="G44" s="1"/>
  <c r="E37"/>
  <c r="G37" s="1"/>
  <c r="E40"/>
  <c r="G40" s="1"/>
  <c r="E56"/>
  <c r="G56" s="1"/>
  <c r="D9" i="81"/>
  <c r="F8"/>
  <c r="H8" s="1"/>
  <c r="J8" s="1"/>
  <c r="D15"/>
  <c r="F7"/>
  <c r="H7" s="1"/>
  <c r="J7" s="1"/>
  <c r="E47" i="78"/>
  <c r="G47" s="1"/>
  <c r="J6" i="82"/>
  <c r="F22"/>
  <c r="F23" i="81"/>
  <c r="E55" i="78" s="1"/>
  <c r="E26"/>
  <c r="G26" s="1"/>
  <c r="E25"/>
  <c r="G25" s="1"/>
  <c r="E23"/>
  <c r="G23" s="1"/>
  <c r="G22"/>
  <c r="F22"/>
  <c r="I63" i="80"/>
  <c r="F63"/>
  <c r="H63" s="1"/>
  <c r="J63" s="1"/>
  <c r="I62"/>
  <c r="F62"/>
  <c r="H62" s="1"/>
  <c r="J62" s="1"/>
  <c r="I61"/>
  <c r="I60"/>
  <c r="I59"/>
  <c r="I58"/>
  <c r="I57"/>
  <c r="I56"/>
  <c r="I55"/>
  <c r="I54"/>
  <c r="I53"/>
  <c r="I52"/>
  <c r="I51"/>
  <c r="I50"/>
  <c r="I49"/>
  <c r="I48"/>
  <c r="I47"/>
  <c r="I46"/>
  <c r="I45"/>
  <c r="I44"/>
  <c r="I43"/>
  <c r="I42"/>
  <c r="I41"/>
  <c r="I40"/>
  <c r="I39"/>
  <c r="I38"/>
  <c r="I37"/>
  <c r="I36"/>
  <c r="I35"/>
  <c r="I34"/>
  <c r="H34"/>
  <c r="J34" s="1"/>
  <c r="F34"/>
  <c r="I33"/>
  <c r="I32"/>
  <c r="I31"/>
  <c r="I30"/>
  <c r="I29"/>
  <c r="I28"/>
  <c r="I27"/>
  <c r="I26"/>
  <c r="I25"/>
  <c r="I24"/>
  <c r="I23"/>
  <c r="I22"/>
  <c r="I21"/>
  <c r="I20"/>
  <c r="I19"/>
  <c r="I18"/>
  <c r="I17"/>
  <c r="I16"/>
  <c r="I15"/>
  <c r="I14"/>
  <c r="I13"/>
  <c r="I12"/>
  <c r="I11"/>
  <c r="I10"/>
  <c r="I9"/>
  <c r="I8"/>
  <c r="I7"/>
  <c r="F7"/>
  <c r="H7" s="1"/>
  <c r="J7" s="1"/>
  <c r="D7"/>
  <c r="D8" s="1"/>
  <c r="B7"/>
  <c r="B8" s="1"/>
  <c r="B9" s="1"/>
  <c r="B10" s="1"/>
  <c r="B12" s="1"/>
  <c r="B13" s="1"/>
  <c r="B14" s="1"/>
  <c r="B15" s="1"/>
  <c r="B17" s="1"/>
  <c r="B18" s="1"/>
  <c r="B19" s="1"/>
  <c r="B20" s="1"/>
  <c r="B21" s="1"/>
  <c r="B22" s="1"/>
  <c r="B23" s="1"/>
  <c r="B24" s="1"/>
  <c r="B25" s="1"/>
  <c r="B26" s="1"/>
  <c r="B27" s="1"/>
  <c r="B28" s="1"/>
  <c r="B30" s="1"/>
  <c r="B31" s="1"/>
  <c r="B32" s="1"/>
  <c r="B33" s="1"/>
  <c r="B35" s="1"/>
  <c r="B36" s="1"/>
  <c r="B37" s="1"/>
  <c r="B38" s="1"/>
  <c r="B39" s="1"/>
  <c r="B40" s="1"/>
  <c r="B41" s="1"/>
  <c r="B43" s="1"/>
  <c r="B44" s="1"/>
  <c r="B45" s="1"/>
  <c r="B46" s="1"/>
  <c r="B48" s="1"/>
  <c r="B49" s="1"/>
  <c r="B50" s="1"/>
  <c r="B51" s="1"/>
  <c r="B53" s="1"/>
  <c r="B54" s="1"/>
  <c r="B55" s="1"/>
  <c r="B56" s="1"/>
  <c r="B57" s="1"/>
  <c r="B58" s="1"/>
  <c r="B59" s="1"/>
  <c r="B60" s="1"/>
  <c r="B61" s="1"/>
  <c r="I6"/>
  <c r="F6"/>
  <c r="H6" s="1"/>
  <c r="J6" s="1"/>
  <c r="G28" i="78"/>
  <c r="G13"/>
  <c r="G34"/>
  <c r="G61"/>
  <c r="G65"/>
  <c r="I57" i="79"/>
  <c r="F57"/>
  <c r="H57" s="1"/>
  <c r="J57" s="1"/>
  <c r="F56"/>
  <c r="H56" s="1"/>
  <c r="I55"/>
  <c r="F55"/>
  <c r="H55" s="1"/>
  <c r="J55" s="1"/>
  <c r="I54"/>
  <c r="H54"/>
  <c r="J54" s="1"/>
  <c r="F54"/>
  <c r="I53"/>
  <c r="F53"/>
  <c r="H53" s="1"/>
  <c r="J53" s="1"/>
  <c r="I52"/>
  <c r="H52"/>
  <c r="J52" s="1"/>
  <c r="F52"/>
  <c r="B52"/>
  <c r="B53" s="1"/>
  <c r="B54" s="1"/>
  <c r="B55" s="1"/>
  <c r="I51"/>
  <c r="F51"/>
  <c r="H51" s="1"/>
  <c r="J51" s="1"/>
  <c r="I50"/>
  <c r="F50"/>
  <c r="H50" s="1"/>
  <c r="J50" s="1"/>
  <c r="I49"/>
  <c r="H49"/>
  <c r="J49" s="1"/>
  <c r="F49"/>
  <c r="I48"/>
  <c r="F48"/>
  <c r="H48" s="1"/>
  <c r="J48" s="1"/>
  <c r="I47"/>
  <c r="H47"/>
  <c r="J47" s="1"/>
  <c r="F47"/>
  <c r="B47"/>
  <c r="B48" s="1"/>
  <c r="B49" s="1"/>
  <c r="B50" s="1"/>
  <c r="I46"/>
  <c r="F46"/>
  <c r="H46" s="1"/>
  <c r="J46" s="1"/>
  <c r="B46"/>
  <c r="I45"/>
  <c r="H45"/>
  <c r="J45" s="1"/>
  <c r="F45"/>
  <c r="I44"/>
  <c r="H44"/>
  <c r="J44" s="1"/>
  <c r="F44"/>
  <c r="I43"/>
  <c r="H43"/>
  <c r="J43" s="1"/>
  <c r="F43"/>
  <c r="I42"/>
  <c r="F42"/>
  <c r="H42" s="1"/>
  <c r="J42" s="1"/>
  <c r="I41"/>
  <c r="F41"/>
  <c r="H41" s="1"/>
  <c r="J41" s="1"/>
  <c r="I40"/>
  <c r="F40"/>
  <c r="H40" s="1"/>
  <c r="J40" s="1"/>
  <c r="I39"/>
  <c r="H39"/>
  <c r="J39" s="1"/>
  <c r="F39"/>
  <c r="I38"/>
  <c r="F38"/>
  <c r="H38" s="1"/>
  <c r="J38" s="1"/>
  <c r="I37"/>
  <c r="H37"/>
  <c r="J37" s="1"/>
  <c r="F37"/>
  <c r="I36"/>
  <c r="F36"/>
  <c r="H36" s="1"/>
  <c r="J36" s="1"/>
  <c r="I35"/>
  <c r="H35"/>
  <c r="J35" s="1"/>
  <c r="F35"/>
  <c r="I34"/>
  <c r="F34"/>
  <c r="H34" s="1"/>
  <c r="J34" s="1"/>
  <c r="I33"/>
  <c r="H33"/>
  <c r="J33" s="1"/>
  <c r="F33"/>
  <c r="I32"/>
  <c r="F32"/>
  <c r="H32" s="1"/>
  <c r="J32" s="1"/>
  <c r="I31"/>
  <c r="H31"/>
  <c r="J31" s="1"/>
  <c r="F31"/>
  <c r="B31"/>
  <c r="B32" s="1"/>
  <c r="B33" s="1"/>
  <c r="B34" s="1"/>
  <c r="B35" s="1"/>
  <c r="B36" s="1"/>
  <c r="B37" s="1"/>
  <c r="B38" s="1"/>
  <c r="B39" s="1"/>
  <c r="B40" s="1"/>
  <c r="B43" s="1"/>
  <c r="I30"/>
  <c r="F30"/>
  <c r="H30" s="1"/>
  <c r="J30" s="1"/>
  <c r="I29"/>
  <c r="I56" s="1"/>
  <c r="F29"/>
  <c r="H29" s="1"/>
  <c r="J29" s="1"/>
  <c r="I28"/>
  <c r="F28"/>
  <c r="H28" s="1"/>
  <c r="J28" s="1"/>
  <c r="I27"/>
  <c r="F27"/>
  <c r="H27" s="1"/>
  <c r="J27" s="1"/>
  <c r="I26"/>
  <c r="F26"/>
  <c r="H26" s="1"/>
  <c r="J26" s="1"/>
  <c r="I25"/>
  <c r="H25"/>
  <c r="J25" s="1"/>
  <c r="F25"/>
  <c r="I24"/>
  <c r="F24"/>
  <c r="H24" s="1"/>
  <c r="J24" s="1"/>
  <c r="I23"/>
  <c r="H23"/>
  <c r="J23" s="1"/>
  <c r="F23"/>
  <c r="B23"/>
  <c r="B24" s="1"/>
  <c r="B25" s="1"/>
  <c r="B26" s="1"/>
  <c r="I22"/>
  <c r="F22"/>
  <c r="H22" s="1"/>
  <c r="J22" s="1"/>
  <c r="F60" s="1"/>
  <c r="B22"/>
  <c r="K21"/>
  <c r="I21"/>
  <c r="F21"/>
  <c r="H21" s="1"/>
  <c r="J21" s="1"/>
  <c r="I20"/>
  <c r="F20"/>
  <c r="H20" s="1"/>
  <c r="J20" s="1"/>
  <c r="E20"/>
  <c r="B20"/>
  <c r="I19"/>
  <c r="F19"/>
  <c r="H19" s="1"/>
  <c r="J19" s="1"/>
  <c r="E19"/>
  <c r="I18"/>
  <c r="E18"/>
  <c r="F18" s="1"/>
  <c r="H18" s="1"/>
  <c r="J18" s="1"/>
  <c r="K17"/>
  <c r="I17"/>
  <c r="E17"/>
  <c r="F17" s="1"/>
  <c r="H17" s="1"/>
  <c r="J17" s="1"/>
  <c r="K16"/>
  <c r="I16"/>
  <c r="E16"/>
  <c r="F16" s="1"/>
  <c r="H16" s="1"/>
  <c r="J16" s="1"/>
  <c r="K15"/>
  <c r="I15"/>
  <c r="F15"/>
  <c r="H15" s="1"/>
  <c r="J15" s="1"/>
  <c r="F61" s="1"/>
  <c r="E15"/>
  <c r="I14"/>
  <c r="F14"/>
  <c r="H14" s="1"/>
  <c r="J14" s="1"/>
  <c r="I13"/>
  <c r="H13"/>
  <c r="J13" s="1"/>
  <c r="F13"/>
  <c r="B13"/>
  <c r="B14" s="1"/>
  <c r="B15" s="1"/>
  <c r="B16" s="1"/>
  <c r="I12"/>
  <c r="F12"/>
  <c r="H12" s="1"/>
  <c r="J12" s="1"/>
  <c r="I11"/>
  <c r="F11"/>
  <c r="H11" s="1"/>
  <c r="J11" s="1"/>
  <c r="I10"/>
  <c r="F10"/>
  <c r="H10" s="1"/>
  <c r="J10" s="1"/>
  <c r="I9"/>
  <c r="F9"/>
  <c r="H9" s="1"/>
  <c r="J9" s="1"/>
  <c r="I8"/>
  <c r="H8"/>
  <c r="J8" s="1"/>
  <c r="F8"/>
  <c r="B8"/>
  <c r="B9" s="1"/>
  <c r="I7"/>
  <c r="F7"/>
  <c r="H7" s="1"/>
  <c r="J7" s="1"/>
  <c r="B7"/>
  <c r="I6"/>
  <c r="H6"/>
  <c r="J6" s="1"/>
  <c r="F63" s="1"/>
  <c r="F6"/>
  <c r="F34" i="78"/>
  <c r="E43" l="1"/>
  <c r="D16" i="81"/>
  <c r="F15"/>
  <c r="H15" s="1"/>
  <c r="J15" s="1"/>
  <c r="F9"/>
  <c r="H9" s="1"/>
  <c r="J9" s="1"/>
  <c r="D10"/>
  <c r="D9" i="80"/>
  <c r="F8"/>
  <c r="H8" s="1"/>
  <c r="J8" s="1"/>
  <c r="J56" i="79"/>
  <c r="F62"/>
  <c r="E35" i="78" s="1"/>
  <c r="G35" s="1"/>
  <c r="D11" i="81" l="1"/>
  <c r="F11" s="1"/>
  <c r="H11" s="1"/>
  <c r="J11" s="1"/>
  <c r="F10"/>
  <c r="H10" s="1"/>
  <c r="J10" s="1"/>
  <c r="D17"/>
  <c r="F17" s="1"/>
  <c r="H17" s="1"/>
  <c r="J17" s="1"/>
  <c r="F16"/>
  <c r="H16" s="1"/>
  <c r="J16" s="1"/>
  <c r="F20" i="82"/>
  <c r="F21" i="81"/>
  <c r="E53" i="78" s="1"/>
  <c r="F9" i="80"/>
  <c r="H9" s="1"/>
  <c r="J9" s="1"/>
  <c r="D10"/>
  <c r="D11" l="1"/>
  <c r="F10"/>
  <c r="H10" s="1"/>
  <c r="J10" s="1"/>
  <c r="F12" i="82" l="1"/>
  <c r="H12" s="1"/>
  <c r="J12" s="1"/>
  <c r="D12" i="80"/>
  <c r="F11"/>
  <c r="H11" s="1"/>
  <c r="J11" s="1"/>
  <c r="F13" i="82" l="1"/>
  <c r="H13" s="1"/>
  <c r="J13" s="1"/>
  <c r="F22" i="81"/>
  <c r="E54" i="78" s="1"/>
  <c r="E52" s="1"/>
  <c r="G52" s="1"/>
  <c r="D13" i="80"/>
  <c r="F12"/>
  <c r="H12" s="1"/>
  <c r="J12" s="1"/>
  <c r="F20" i="81" l="1"/>
  <c r="E51" i="78" s="1"/>
  <c r="G51" s="1"/>
  <c r="F15" i="82"/>
  <c r="H15" s="1"/>
  <c r="J15" s="1"/>
  <c r="F14"/>
  <c r="H14" s="1"/>
  <c r="J14" s="1"/>
  <c r="F21"/>
  <c r="D14" i="80"/>
  <c r="F13"/>
  <c r="H13" s="1"/>
  <c r="J13" s="1"/>
  <c r="F19" i="82" l="1"/>
  <c r="D15" i="80"/>
  <c r="F14"/>
  <c r="H14" s="1"/>
  <c r="J14" s="1"/>
  <c r="D17" l="1"/>
  <c r="D16"/>
  <c r="F16" s="1"/>
  <c r="H16" s="1"/>
  <c r="J16" s="1"/>
  <c r="F15"/>
  <c r="H15" s="1"/>
  <c r="J15" s="1"/>
  <c r="F17" l="1"/>
  <c r="H17" s="1"/>
  <c r="J17" s="1"/>
  <c r="D18"/>
  <c r="I12" i="76"/>
  <c r="F12"/>
  <c r="H12" s="1"/>
  <c r="I11"/>
  <c r="F11"/>
  <c r="H11" s="1"/>
  <c r="J11" s="1"/>
  <c r="I10"/>
  <c r="I9"/>
  <c r="I8"/>
  <c r="I7"/>
  <c r="F7"/>
  <c r="H7" s="1"/>
  <c r="J7" s="1"/>
  <c r="D7"/>
  <c r="D8" s="1"/>
  <c r="B7"/>
  <c r="B8" s="1"/>
  <c r="B9" s="1"/>
  <c r="B10" s="1"/>
  <c r="I6"/>
  <c r="F6"/>
  <c r="H6" s="1"/>
  <c r="J6" s="1"/>
  <c r="F17" s="1"/>
  <c r="F18" i="80" l="1"/>
  <c r="H18" s="1"/>
  <c r="J18" s="1"/>
  <c r="D19"/>
  <c r="J12" i="76"/>
  <c r="F15" s="1"/>
  <c r="D9"/>
  <c r="F8"/>
  <c r="H8" s="1"/>
  <c r="J8" s="1"/>
  <c r="F19" i="80" l="1"/>
  <c r="H19" s="1"/>
  <c r="J19" s="1"/>
  <c r="D20"/>
  <c r="D10" i="76"/>
  <c r="F10" s="1"/>
  <c r="H10" s="1"/>
  <c r="J10" s="1"/>
  <c r="F9"/>
  <c r="H9" s="1"/>
  <c r="J9" s="1"/>
  <c r="F20" i="80" l="1"/>
  <c r="H20" s="1"/>
  <c r="J20" s="1"/>
  <c r="D21"/>
  <c r="F16" i="76"/>
  <c r="F21" i="80" l="1"/>
  <c r="H21" s="1"/>
  <c r="J21" s="1"/>
  <c r="D22"/>
  <c r="F22" l="1"/>
  <c r="H22" s="1"/>
  <c r="J22" s="1"/>
  <c r="D23"/>
  <c r="F23" l="1"/>
  <c r="H23" s="1"/>
  <c r="J23" s="1"/>
  <c r="D24"/>
  <c r="I21" i="75"/>
  <c r="F21"/>
  <c r="H21" s="1"/>
  <c r="J21" s="1"/>
  <c r="I20"/>
  <c r="I19"/>
  <c r="I18"/>
  <c r="I17"/>
  <c r="I16"/>
  <c r="I15"/>
  <c r="I14"/>
  <c r="I13"/>
  <c r="I12"/>
  <c r="I11"/>
  <c r="I10"/>
  <c r="I9"/>
  <c r="I8"/>
  <c r="I7"/>
  <c r="I6"/>
  <c r="I18" i="73"/>
  <c r="I19"/>
  <c r="I20"/>
  <c r="I21"/>
  <c r="I22"/>
  <c r="I17"/>
  <c r="I16"/>
  <c r="I15"/>
  <c r="I14"/>
  <c r="I13"/>
  <c r="I12"/>
  <c r="I11"/>
  <c r="I10"/>
  <c r="I9"/>
  <c r="I8"/>
  <c r="I7"/>
  <c r="D7"/>
  <c r="D8" s="1"/>
  <c r="I6"/>
  <c r="F6"/>
  <c r="H6" s="1"/>
  <c r="I11" i="72"/>
  <c r="I10"/>
  <c r="I9"/>
  <c r="I8"/>
  <c r="I7"/>
  <c r="I6"/>
  <c r="I50" i="71"/>
  <c r="F50"/>
  <c r="H50" s="1"/>
  <c r="J50" s="1"/>
  <c r="I49"/>
  <c r="I48"/>
  <c r="I47"/>
  <c r="I46"/>
  <c r="I45"/>
  <c r="I44"/>
  <c r="I43"/>
  <c r="I42"/>
  <c r="I41"/>
  <c r="I40"/>
  <c r="I39"/>
  <c r="I38"/>
  <c r="I37"/>
  <c r="I36"/>
  <c r="I35"/>
  <c r="I34"/>
  <c r="I33"/>
  <c r="I32"/>
  <c r="I31"/>
  <c r="I30"/>
  <c r="I29"/>
  <c r="I28"/>
  <c r="I27"/>
  <c r="I26"/>
  <c r="I25"/>
  <c r="I24"/>
  <c r="I23"/>
  <c r="I22"/>
  <c r="I21"/>
  <c r="I20"/>
  <c r="I19"/>
  <c r="D19"/>
  <c r="D20" s="1"/>
  <c r="D21" s="1"/>
  <c r="I18"/>
  <c r="H18"/>
  <c r="J18" s="1"/>
  <c r="F18"/>
  <c r="I17"/>
  <c r="I16"/>
  <c r="I15"/>
  <c r="I14"/>
  <c r="I13"/>
  <c r="I12"/>
  <c r="I11"/>
  <c r="I10"/>
  <c r="I9"/>
  <c r="I8"/>
  <c r="D8"/>
  <c r="D9" s="1"/>
  <c r="D10" s="1"/>
  <c r="I7"/>
  <c r="H7"/>
  <c r="J7" s="1"/>
  <c r="F7"/>
  <c r="I6"/>
  <c r="F6"/>
  <c r="H6" s="1"/>
  <c r="J6" s="1"/>
  <c r="F24" i="80" l="1"/>
  <c r="H24" s="1"/>
  <c r="J24" s="1"/>
  <c r="D25"/>
  <c r="F8" i="71"/>
  <c r="H8" s="1"/>
  <c r="J8" s="1"/>
  <c r="F19"/>
  <c r="H19" s="1"/>
  <c r="J19" s="1"/>
  <c r="J6" i="73"/>
  <c r="D9"/>
  <c r="F8"/>
  <c r="H8" s="1"/>
  <c r="J8" s="1"/>
  <c r="F7"/>
  <c r="H7" s="1"/>
  <c r="J7" s="1"/>
  <c r="D11" i="71"/>
  <c r="F10"/>
  <c r="H10" s="1"/>
  <c r="J10" s="1"/>
  <c r="D22"/>
  <c r="F21"/>
  <c r="H21" s="1"/>
  <c r="J21" s="1"/>
  <c r="F9"/>
  <c r="H9" s="1"/>
  <c r="J9" s="1"/>
  <c r="F20"/>
  <c r="H20" s="1"/>
  <c r="J20" s="1"/>
  <c r="F25" i="80" l="1"/>
  <c r="H25" s="1"/>
  <c r="J25" s="1"/>
  <c r="D26"/>
  <c r="D10" i="73"/>
  <c r="F9"/>
  <c r="H9" s="1"/>
  <c r="J9" s="1"/>
  <c r="D23" i="71"/>
  <c r="F22"/>
  <c r="H22" s="1"/>
  <c r="J22" s="1"/>
  <c r="D12"/>
  <c r="F11"/>
  <c r="H11" s="1"/>
  <c r="J11" s="1"/>
  <c r="F26" i="80" l="1"/>
  <c r="H26" s="1"/>
  <c r="J26" s="1"/>
  <c r="D27"/>
  <c r="D11" i="73"/>
  <c r="F10"/>
  <c r="H10" s="1"/>
  <c r="J10" s="1"/>
  <c r="D13" i="71"/>
  <c r="F12"/>
  <c r="H12" s="1"/>
  <c r="J12" s="1"/>
  <c r="D24"/>
  <c r="F23"/>
  <c r="H23" s="1"/>
  <c r="J23" s="1"/>
  <c r="F27" i="80" l="1"/>
  <c r="H27" s="1"/>
  <c r="J27" s="1"/>
  <c r="D28"/>
  <c r="D12" i="73"/>
  <c r="F11"/>
  <c r="H11" s="1"/>
  <c r="J11" s="1"/>
  <c r="D7" i="72"/>
  <c r="F6"/>
  <c r="H6" s="1"/>
  <c r="J6" s="1"/>
  <c r="D25" i="71"/>
  <c r="F24"/>
  <c r="H24" s="1"/>
  <c r="J24" s="1"/>
  <c r="D14"/>
  <c r="F13"/>
  <c r="H13" s="1"/>
  <c r="J13" s="1"/>
  <c r="D29" i="80" l="1"/>
  <c r="F28"/>
  <c r="H28" s="1"/>
  <c r="J28" s="1"/>
  <c r="D13" i="73"/>
  <c r="F12"/>
  <c r="H12" s="1"/>
  <c r="J12" s="1"/>
  <c r="D8" i="72"/>
  <c r="F7"/>
  <c r="H7" s="1"/>
  <c r="J7" s="1"/>
  <c r="D15" i="71"/>
  <c r="F14"/>
  <c r="H14" s="1"/>
  <c r="J14" s="1"/>
  <c r="D26"/>
  <c r="F25"/>
  <c r="H25" s="1"/>
  <c r="J25" s="1"/>
  <c r="D30" i="80" l="1"/>
  <c r="F29"/>
  <c r="H29" s="1"/>
  <c r="J29" s="1"/>
  <c r="D14" i="73"/>
  <c r="F13"/>
  <c r="H13" s="1"/>
  <c r="J13" s="1"/>
  <c r="D9" i="72"/>
  <c r="F8"/>
  <c r="H8" s="1"/>
  <c r="J8" s="1"/>
  <c r="D27" i="71"/>
  <c r="F26"/>
  <c r="H26" s="1"/>
  <c r="J26" s="1"/>
  <c r="D16"/>
  <c r="F15"/>
  <c r="H15" s="1"/>
  <c r="J15" s="1"/>
  <c r="D31" i="80" l="1"/>
  <c r="F30"/>
  <c r="H30" s="1"/>
  <c r="J30" s="1"/>
  <c r="D15" i="73"/>
  <c r="F14"/>
  <c r="H14" s="1"/>
  <c r="J14" s="1"/>
  <c r="D10" i="72"/>
  <c r="F9"/>
  <c r="H9" s="1"/>
  <c r="J9" s="1"/>
  <c r="D17" i="71"/>
  <c r="F17" s="1"/>
  <c r="H17" s="1"/>
  <c r="J17" s="1"/>
  <c r="F16"/>
  <c r="H16" s="1"/>
  <c r="J16" s="1"/>
  <c r="D28"/>
  <c r="F27"/>
  <c r="H27" s="1"/>
  <c r="J27" s="1"/>
  <c r="D32" i="80" l="1"/>
  <c r="F31"/>
  <c r="H31" s="1"/>
  <c r="J31" s="1"/>
  <c r="D16" i="73"/>
  <c r="F15"/>
  <c r="H15" s="1"/>
  <c r="J15" s="1"/>
  <c r="D11" i="72"/>
  <c r="F11" s="1"/>
  <c r="H11" s="1"/>
  <c r="J11" s="1"/>
  <c r="F10"/>
  <c r="H10" s="1"/>
  <c r="J10" s="1"/>
  <c r="D29" i="71"/>
  <c r="F28"/>
  <c r="H28" s="1"/>
  <c r="J28" s="1"/>
  <c r="D33" i="80" l="1"/>
  <c r="F32"/>
  <c r="H32" s="1"/>
  <c r="J32" s="1"/>
  <c r="D17" i="73"/>
  <c r="F16"/>
  <c r="H16" s="1"/>
  <c r="J16" s="1"/>
  <c r="D30" i="71"/>
  <c r="F29"/>
  <c r="H29" s="1"/>
  <c r="J29" s="1"/>
  <c r="D35" i="80" l="1"/>
  <c r="F33"/>
  <c r="H33" s="1"/>
  <c r="J33" s="1"/>
  <c r="F17" i="73"/>
  <c r="H17" s="1"/>
  <c r="J17" s="1"/>
  <c r="D31" i="71"/>
  <c r="F30"/>
  <c r="H30" s="1"/>
  <c r="J30" s="1"/>
  <c r="D36" i="80" l="1"/>
  <c r="F35"/>
  <c r="H35" s="1"/>
  <c r="J35" s="1"/>
  <c r="D7" i="75"/>
  <c r="F6"/>
  <c r="H6" s="1"/>
  <c r="J6" s="1"/>
  <c r="D32" i="71"/>
  <c r="F31"/>
  <c r="H31" s="1"/>
  <c r="J31" s="1"/>
  <c r="D37" i="80" l="1"/>
  <c r="F36"/>
  <c r="H36" s="1"/>
  <c r="J36" s="1"/>
  <c r="D8" i="75"/>
  <c r="F7"/>
  <c r="H7" s="1"/>
  <c r="J7" s="1"/>
  <c r="D33" i="71"/>
  <c r="F32"/>
  <c r="H32" s="1"/>
  <c r="J32" s="1"/>
  <c r="D38" i="80" l="1"/>
  <c r="F37"/>
  <c r="H37" s="1"/>
  <c r="J37" s="1"/>
  <c r="D9" i="75"/>
  <c r="F8"/>
  <c r="H8" s="1"/>
  <c r="J8" s="1"/>
  <c r="D34" i="71"/>
  <c r="F33"/>
  <c r="H33" s="1"/>
  <c r="J33" s="1"/>
  <c r="D39" i="80" l="1"/>
  <c r="F38"/>
  <c r="H38" s="1"/>
  <c r="J38" s="1"/>
  <c r="D10" i="75"/>
  <c r="F9"/>
  <c r="H9" s="1"/>
  <c r="J9" s="1"/>
  <c r="D35" i="71"/>
  <c r="F34"/>
  <c r="H34" s="1"/>
  <c r="J34" s="1"/>
  <c r="D40" i="80" l="1"/>
  <c r="F39"/>
  <c r="H39" s="1"/>
  <c r="J39" s="1"/>
  <c r="D11" i="75"/>
  <c r="F10"/>
  <c r="H10" s="1"/>
  <c r="J10" s="1"/>
  <c r="D36" i="71"/>
  <c r="F35"/>
  <c r="H35" s="1"/>
  <c r="J35" s="1"/>
  <c r="D41" i="80" l="1"/>
  <c r="F40"/>
  <c r="H40" s="1"/>
  <c r="J40" s="1"/>
  <c r="D12" i="75"/>
  <c r="F11"/>
  <c r="H11" s="1"/>
  <c r="J11" s="1"/>
  <c r="D37" i="71"/>
  <c r="F36"/>
  <c r="H36" s="1"/>
  <c r="J36" s="1"/>
  <c r="D42" i="80" l="1"/>
  <c r="F41"/>
  <c r="H41" s="1"/>
  <c r="J41" s="1"/>
  <c r="D13" i="75"/>
  <c r="F12"/>
  <c r="H12" s="1"/>
  <c r="J12" s="1"/>
  <c r="D38" i="71"/>
  <c r="F37"/>
  <c r="H37" s="1"/>
  <c r="J37" s="1"/>
  <c r="F42" i="80" l="1"/>
  <c r="H42" s="1"/>
  <c r="J42" s="1"/>
  <c r="D43"/>
  <c r="D14" i="75"/>
  <c r="F13"/>
  <c r="H13" s="1"/>
  <c r="J13" s="1"/>
  <c r="D39" i="71"/>
  <c r="F38"/>
  <c r="H38" s="1"/>
  <c r="J38" s="1"/>
  <c r="F43" i="80" l="1"/>
  <c r="H43" s="1"/>
  <c r="J43" s="1"/>
  <c r="D44"/>
  <c r="F14" i="75"/>
  <c r="H14" s="1"/>
  <c r="J14" s="1"/>
  <c r="F18" i="73"/>
  <c r="H18" s="1"/>
  <c r="J18" s="1"/>
  <c r="D19"/>
  <c r="D40" i="71"/>
  <c r="F39"/>
  <c r="H39" s="1"/>
  <c r="J39" s="1"/>
  <c r="F44" i="80" l="1"/>
  <c r="H44" s="1"/>
  <c r="J44" s="1"/>
  <c r="D45"/>
  <c r="F19" i="73"/>
  <c r="H19" s="1"/>
  <c r="J19" s="1"/>
  <c r="D20"/>
  <c r="D41" i="71"/>
  <c r="F40"/>
  <c r="H40" s="1"/>
  <c r="J40" s="1"/>
  <c r="F45" i="80" l="1"/>
  <c r="H45" s="1"/>
  <c r="J45" s="1"/>
  <c r="D46"/>
  <c r="F20" i="73"/>
  <c r="H20" s="1"/>
  <c r="J20" s="1"/>
  <c r="D21"/>
  <c r="D42" i="71"/>
  <c r="F41"/>
  <c r="H41" s="1"/>
  <c r="J41" s="1"/>
  <c r="D47" i="80" l="1"/>
  <c r="F46"/>
  <c r="H46" s="1"/>
  <c r="J46" s="1"/>
  <c r="F21" i="73"/>
  <c r="H21" s="1"/>
  <c r="J21" s="1"/>
  <c r="D22"/>
  <c r="D43" i="71"/>
  <c r="F42"/>
  <c r="H42" s="1"/>
  <c r="J42" s="1"/>
  <c r="D48" i="80" l="1"/>
  <c r="F47"/>
  <c r="H47" s="1"/>
  <c r="J47" s="1"/>
  <c r="F22" i="73"/>
  <c r="H22" s="1"/>
  <c r="J22" s="1"/>
  <c r="D44" i="71"/>
  <c r="F43"/>
  <c r="H43" s="1"/>
  <c r="J43" s="1"/>
  <c r="D49" i="80" l="1"/>
  <c r="F48"/>
  <c r="H48" s="1"/>
  <c r="J48" s="1"/>
  <c r="D45" i="71"/>
  <c r="F44"/>
  <c r="H44" s="1"/>
  <c r="J44" s="1"/>
  <c r="D50" i="80" l="1"/>
  <c r="F49"/>
  <c r="H49" s="1"/>
  <c r="J49" s="1"/>
  <c r="D16" i="75"/>
  <c r="F15"/>
  <c r="H15" s="1"/>
  <c r="J15" s="1"/>
  <c r="D46" i="71"/>
  <c r="F45"/>
  <c r="H45" s="1"/>
  <c r="J45" s="1"/>
  <c r="D51" i="80" l="1"/>
  <c r="F50"/>
  <c r="H50" s="1"/>
  <c r="J50" s="1"/>
  <c r="D17" i="75"/>
  <c r="F16"/>
  <c r="H16" s="1"/>
  <c r="J16" s="1"/>
  <c r="D47" i="71"/>
  <c r="F46"/>
  <c r="H46" s="1"/>
  <c r="J46" s="1"/>
  <c r="D52" i="80" l="1"/>
  <c r="F51"/>
  <c r="H51" s="1"/>
  <c r="J51" s="1"/>
  <c r="D18" i="75"/>
  <c r="F17"/>
  <c r="H17" s="1"/>
  <c r="J17" s="1"/>
  <c r="D48" i="71"/>
  <c r="F47"/>
  <c r="H47" s="1"/>
  <c r="J47" s="1"/>
  <c r="F52" i="80" l="1"/>
  <c r="H52" s="1"/>
  <c r="J52" s="1"/>
  <c r="D53"/>
  <c r="D19" i="75"/>
  <c r="F18"/>
  <c r="H18" s="1"/>
  <c r="J18" s="1"/>
  <c r="D49" i="71"/>
  <c r="F49" s="1"/>
  <c r="H49" s="1"/>
  <c r="J49" s="1"/>
  <c r="F48"/>
  <c r="H48" s="1"/>
  <c r="J48" s="1"/>
  <c r="F53" i="80" l="1"/>
  <c r="H53" s="1"/>
  <c r="J53" s="1"/>
  <c r="D54"/>
  <c r="D20" i="75"/>
  <c r="F20" s="1"/>
  <c r="H20" s="1"/>
  <c r="J20" s="1"/>
  <c r="F19"/>
  <c r="H19" s="1"/>
  <c r="J19" s="1"/>
  <c r="F53" i="71"/>
  <c r="F56"/>
  <c r="F54"/>
  <c r="F55"/>
  <c r="F54" i="80" l="1"/>
  <c r="H54" s="1"/>
  <c r="J54" s="1"/>
  <c r="D55"/>
  <c r="F24" i="75"/>
  <c r="F25"/>
  <c r="F27"/>
  <c r="F26"/>
  <c r="F25" i="73"/>
  <c r="F26"/>
  <c r="F28"/>
  <c r="F27"/>
  <c r="F14" i="72"/>
  <c r="F15"/>
  <c r="F55" i="80" l="1"/>
  <c r="H55" s="1"/>
  <c r="J55" s="1"/>
  <c r="D56"/>
  <c r="K26" i="75"/>
  <c r="F56" i="80" l="1"/>
  <c r="H56" s="1"/>
  <c r="J56" s="1"/>
  <c r="D57"/>
  <c r="I28" i="68"/>
  <c r="F28"/>
  <c r="H28" s="1"/>
  <c r="J28" s="1"/>
  <c r="I27"/>
  <c r="I26"/>
  <c r="I25"/>
  <c r="I24"/>
  <c r="I23"/>
  <c r="I22"/>
  <c r="I21"/>
  <c r="I20"/>
  <c r="I19"/>
  <c r="D19"/>
  <c r="D20" s="1"/>
  <c r="I18"/>
  <c r="F18"/>
  <c r="H18" s="1"/>
  <c r="J18" s="1"/>
  <c r="I17"/>
  <c r="I16"/>
  <c r="I15"/>
  <c r="I14"/>
  <c r="I13"/>
  <c r="I12"/>
  <c r="I11"/>
  <c r="I10"/>
  <c r="I9"/>
  <c r="I8"/>
  <c r="I7"/>
  <c r="F7"/>
  <c r="H7" s="1"/>
  <c r="J7" s="1"/>
  <c r="L6"/>
  <c r="I6"/>
  <c r="G6"/>
  <c r="F6"/>
  <c r="H6" s="1"/>
  <c r="J6" s="1"/>
  <c r="F57" i="80" l="1"/>
  <c r="H57" s="1"/>
  <c r="J57" s="1"/>
  <c r="D58"/>
  <c r="F9" i="68"/>
  <c r="H9" s="1"/>
  <c r="J9" s="1"/>
  <c r="D21"/>
  <c r="F20"/>
  <c r="H20" s="1"/>
  <c r="J20" s="1"/>
  <c r="F8"/>
  <c r="H8" s="1"/>
  <c r="J8" s="1"/>
  <c r="F19"/>
  <c r="H19" s="1"/>
  <c r="J19" s="1"/>
  <c r="F58" i="80" l="1"/>
  <c r="H58" s="1"/>
  <c r="J58" s="1"/>
  <c r="D59"/>
  <c r="D22" i="68"/>
  <c r="F21"/>
  <c r="H21" s="1"/>
  <c r="J21" s="1"/>
  <c r="F10"/>
  <c r="H10" s="1"/>
  <c r="J10" s="1"/>
  <c r="F59" i="80" l="1"/>
  <c r="H59" s="1"/>
  <c r="J59" s="1"/>
  <c r="D60"/>
  <c r="F11" i="68"/>
  <c r="H11" s="1"/>
  <c r="J11" s="1"/>
  <c r="D23"/>
  <c r="F22"/>
  <c r="H22" s="1"/>
  <c r="J22" s="1"/>
  <c r="F60" i="80" l="1"/>
  <c r="H60" s="1"/>
  <c r="J60" s="1"/>
  <c r="D61"/>
  <c r="F61" s="1"/>
  <c r="H61" s="1"/>
  <c r="J61" s="1"/>
  <c r="D24" i="68"/>
  <c r="F23"/>
  <c r="H23" s="1"/>
  <c r="J23" s="1"/>
  <c r="D13"/>
  <c r="F12"/>
  <c r="H12" s="1"/>
  <c r="J12" s="1"/>
  <c r="F69" i="80" l="1"/>
  <c r="F68"/>
  <c r="F66"/>
  <c r="F67"/>
  <c r="D14" i="68"/>
  <c r="F13"/>
  <c r="H13" s="1"/>
  <c r="J13" s="1"/>
  <c r="D25"/>
  <c r="F24"/>
  <c r="H24" s="1"/>
  <c r="J24" s="1"/>
  <c r="D26" l="1"/>
  <c r="F25"/>
  <c r="H25" s="1"/>
  <c r="J25" s="1"/>
  <c r="D15"/>
  <c r="F14"/>
  <c r="H14" s="1"/>
  <c r="J14" s="1"/>
  <c r="D16" l="1"/>
  <c r="F15"/>
  <c r="H15" s="1"/>
  <c r="J15" s="1"/>
  <c r="D27"/>
  <c r="F27" s="1"/>
  <c r="H27" s="1"/>
  <c r="J27" s="1"/>
  <c r="F26"/>
  <c r="H26" s="1"/>
  <c r="J26" s="1"/>
  <c r="F33"/>
  <c r="F31" l="1"/>
  <c r="F34"/>
  <c r="D17"/>
  <c r="F17" s="1"/>
  <c r="H17" s="1"/>
  <c r="J17" s="1"/>
  <c r="F16"/>
  <c r="H16" s="1"/>
  <c r="J16" s="1"/>
  <c r="F32" l="1"/>
  <c r="I24" i="66" l="1"/>
  <c r="F24"/>
  <c r="H24" s="1"/>
  <c r="I23"/>
  <c r="F23"/>
  <c r="H23" s="1"/>
  <c r="J23" s="1"/>
  <c r="I22"/>
  <c r="F22"/>
  <c r="H22" s="1"/>
  <c r="I21"/>
  <c r="F21"/>
  <c r="H21" s="1"/>
  <c r="J21" s="1"/>
  <c r="I20"/>
  <c r="F20"/>
  <c r="H20" s="1"/>
  <c r="I19"/>
  <c r="F19"/>
  <c r="H19" s="1"/>
  <c r="J19" s="1"/>
  <c r="I18"/>
  <c r="F18"/>
  <c r="H18" s="1"/>
  <c r="I17"/>
  <c r="F17"/>
  <c r="H17" s="1"/>
  <c r="J17" s="1"/>
  <c r="I16"/>
  <c r="F16"/>
  <c r="H16" s="1"/>
  <c r="I15"/>
  <c r="F15"/>
  <c r="H15" s="1"/>
  <c r="J15" s="1"/>
  <c r="I14"/>
  <c r="F14"/>
  <c r="H14" s="1"/>
  <c r="I13"/>
  <c r="F13"/>
  <c r="H13" s="1"/>
  <c r="J13" s="1"/>
  <c r="I12"/>
  <c r="F12"/>
  <c r="H12" s="1"/>
  <c r="I11"/>
  <c r="F11"/>
  <c r="H11" s="1"/>
  <c r="J11" s="1"/>
  <c r="I10"/>
  <c r="F10"/>
  <c r="H10" s="1"/>
  <c r="I9"/>
  <c r="F9"/>
  <c r="H9" s="1"/>
  <c r="J9" s="1"/>
  <c r="I8"/>
  <c r="F8"/>
  <c r="H8" s="1"/>
  <c r="K7"/>
  <c r="L7" s="1"/>
  <c r="I7"/>
  <c r="F7"/>
  <c r="H7" s="1"/>
  <c r="J7" s="1"/>
  <c r="I6"/>
  <c r="F6"/>
  <c r="H6" s="1"/>
  <c r="J6" l="1"/>
  <c r="J8"/>
  <c r="J10"/>
  <c r="F27" s="1"/>
  <c r="J12"/>
  <c r="J14"/>
  <c r="J16"/>
  <c r="J18"/>
  <c r="J20"/>
  <c r="J22"/>
  <c r="J24"/>
  <c r="F28"/>
  <c r="K25" i="60" l="1"/>
  <c r="E25"/>
  <c r="K24"/>
  <c r="E24"/>
  <c r="K23"/>
  <c r="E23"/>
  <c r="K22"/>
  <c r="E22"/>
  <c r="K21"/>
  <c r="E21"/>
  <c r="K20"/>
  <c r="E20"/>
  <c r="K19"/>
  <c r="E19"/>
  <c r="K18"/>
  <c r="E18"/>
  <c r="K17"/>
  <c r="K16"/>
  <c r="E16"/>
  <c r="K15"/>
  <c r="K14"/>
  <c r="K13"/>
  <c r="E13"/>
  <c r="K12"/>
  <c r="E12"/>
  <c r="K11"/>
  <c r="E11"/>
  <c r="K10"/>
  <c r="H10"/>
  <c r="E10"/>
  <c r="K9"/>
  <c r="E9"/>
  <c r="K8"/>
  <c r="E8"/>
  <c r="K7"/>
  <c r="H7"/>
  <c r="E7"/>
  <c r="D7"/>
  <c r="G7" s="1"/>
  <c r="J7" s="1"/>
  <c r="L7" s="1"/>
  <c r="K6"/>
  <c r="G6"/>
  <c r="J6" s="1"/>
  <c r="L6" s="1"/>
  <c r="E6"/>
  <c r="D8" l="1"/>
  <c r="D9" s="1"/>
  <c r="D10"/>
  <c r="G9"/>
  <c r="J9" s="1"/>
  <c r="L9" s="1"/>
  <c r="G8"/>
  <c r="J8" s="1"/>
  <c r="L8" s="1"/>
  <c r="G29" s="1"/>
  <c r="D11" l="1"/>
  <c r="G10"/>
  <c r="J10" s="1"/>
  <c r="L10" s="1"/>
  <c r="D12" l="1"/>
  <c r="G11"/>
  <c r="J11" s="1"/>
  <c r="L11" s="1"/>
  <c r="D13" l="1"/>
  <c r="G12"/>
  <c r="J12" s="1"/>
  <c r="L12" s="1"/>
  <c r="F15" i="56"/>
  <c r="N14"/>
  <c r="H14"/>
  <c r="E14"/>
  <c r="I13"/>
  <c r="H13"/>
  <c r="N12"/>
  <c r="H12"/>
  <c r="K12" s="1"/>
  <c r="J13"/>
  <c r="I11"/>
  <c r="H11"/>
  <c r="P14" s="1"/>
  <c r="H10"/>
  <c r="K10" s="1"/>
  <c r="I9"/>
  <c r="H9"/>
  <c r="M8"/>
  <c r="N8" s="1"/>
  <c r="H8"/>
  <c r="K8" s="1"/>
  <c r="J9"/>
  <c r="A8"/>
  <c r="A10" s="1"/>
  <c r="A12" s="1"/>
  <c r="A14" s="1"/>
  <c r="I7"/>
  <c r="G15"/>
  <c r="E6"/>
  <c r="D14" i="60" l="1"/>
  <c r="G13"/>
  <c r="J13" s="1"/>
  <c r="L13" s="1"/>
  <c r="I15" i="56"/>
  <c r="J7"/>
  <c r="J11"/>
  <c r="N10"/>
  <c r="P12" s="1"/>
  <c r="H7"/>
  <c r="H15" s="1"/>
  <c r="E8"/>
  <c r="E10"/>
  <c r="E12"/>
  <c r="K13" s="1"/>
  <c r="D15" i="60" l="1"/>
  <c r="G14"/>
  <c r="J14" s="1"/>
  <c r="L14" s="1"/>
  <c r="K11" i="56"/>
  <c r="J15"/>
  <c r="K9"/>
  <c r="K7"/>
  <c r="P10"/>
  <c r="O10"/>
  <c r="O12" s="1"/>
  <c r="O14" s="1"/>
  <c r="D16" i="60" l="1"/>
  <c r="G15"/>
  <c r="J15" s="1"/>
  <c r="L15" s="1"/>
  <c r="K15" i="56"/>
  <c r="D17" i="60" l="1"/>
  <c r="G16"/>
  <c r="J16" s="1"/>
  <c r="L16" s="1"/>
  <c r="D18" l="1"/>
  <c r="G17"/>
  <c r="J17" s="1"/>
  <c r="L17" s="1"/>
  <c r="D19" l="1"/>
  <c r="G18"/>
  <c r="J18" s="1"/>
  <c r="L18" s="1"/>
  <c r="E12" i="55"/>
  <c r="E9"/>
  <c r="E6"/>
  <c r="E7"/>
  <c r="E8"/>
  <c r="E10"/>
  <c r="E11"/>
  <c r="E13"/>
  <c r="E16"/>
  <c r="E18"/>
  <c r="E19"/>
  <c r="E20"/>
  <c r="E21"/>
  <c r="E22"/>
  <c r="E23"/>
  <c r="E24"/>
  <c r="E25"/>
  <c r="H10"/>
  <c r="D20" i="60" l="1"/>
  <c r="G19"/>
  <c r="J19" s="1"/>
  <c r="L19" s="1"/>
  <c r="H7" i="55"/>
  <c r="K25"/>
  <c r="K24"/>
  <c r="K23"/>
  <c r="K22"/>
  <c r="K21"/>
  <c r="K20"/>
  <c r="K19"/>
  <c r="K18"/>
  <c r="K17"/>
  <c r="K16"/>
  <c r="K15"/>
  <c r="K14"/>
  <c r="K13"/>
  <c r="K12"/>
  <c r="K11"/>
  <c r="K10"/>
  <c r="K9"/>
  <c r="K8"/>
  <c r="K7"/>
  <c r="D7"/>
  <c r="D8" s="1"/>
  <c r="D9" s="1"/>
  <c r="K6"/>
  <c r="G6"/>
  <c r="J6" s="1"/>
  <c r="I12" i="53"/>
  <c r="F12"/>
  <c r="H12" s="1"/>
  <c r="I11"/>
  <c r="F11"/>
  <c r="H11" s="1"/>
  <c r="I10"/>
  <c r="I9"/>
  <c r="I8"/>
  <c r="I7"/>
  <c r="D7"/>
  <c r="D8" s="1"/>
  <c r="B7"/>
  <c r="B8" s="1"/>
  <c r="B9" s="1"/>
  <c r="B10" s="1"/>
  <c r="I6"/>
  <c r="F6"/>
  <c r="H6" s="1"/>
  <c r="I11" i="52"/>
  <c r="I10"/>
  <c r="I9"/>
  <c r="I8"/>
  <c r="D8"/>
  <c r="D9" s="1"/>
  <c r="I7"/>
  <c r="F7"/>
  <c r="H7" s="1"/>
  <c r="I6"/>
  <c r="F6"/>
  <c r="H6" s="1"/>
  <c r="I9" i="50"/>
  <c r="F9"/>
  <c r="H9" s="1"/>
  <c r="I8"/>
  <c r="F8"/>
  <c r="H8" s="1"/>
  <c r="I7"/>
  <c r="F7"/>
  <c r="H7" s="1"/>
  <c r="I6"/>
  <c r="L7" s="1"/>
  <c r="F6"/>
  <c r="H6" s="1"/>
  <c r="I12" i="48"/>
  <c r="I13"/>
  <c r="F13"/>
  <c r="H13" s="1"/>
  <c r="F12"/>
  <c r="H12" s="1"/>
  <c r="I11"/>
  <c r="F11"/>
  <c r="H11" s="1"/>
  <c r="I10"/>
  <c r="F10"/>
  <c r="H10" s="1"/>
  <c r="I9"/>
  <c r="F9"/>
  <c r="H9" s="1"/>
  <c r="I8"/>
  <c r="F8"/>
  <c r="H8" s="1"/>
  <c r="I7"/>
  <c r="F7"/>
  <c r="H7" s="1"/>
  <c r="I6"/>
  <c r="E6"/>
  <c r="F6" s="1"/>
  <c r="H6" s="1"/>
  <c r="I12" i="43"/>
  <c r="J6" i="48" l="1"/>
  <c r="J7" i="50"/>
  <c r="D21" i="60"/>
  <c r="G20"/>
  <c r="J20" s="1"/>
  <c r="L20" s="1"/>
  <c r="J7" i="48"/>
  <c r="J8"/>
  <c r="F16" s="1"/>
  <c r="J9"/>
  <c r="F19" s="1"/>
  <c r="J10"/>
  <c r="F17" s="1"/>
  <c r="J11"/>
  <c r="J8" i="50"/>
  <c r="J9"/>
  <c r="J6"/>
  <c r="F12" s="1"/>
  <c r="J6" i="52"/>
  <c r="J7"/>
  <c r="J6" i="53"/>
  <c r="F17" s="1"/>
  <c r="F7"/>
  <c r="H7" s="1"/>
  <c r="J7" s="1"/>
  <c r="L6" i="55"/>
  <c r="J13" i="48"/>
  <c r="F18" s="1"/>
  <c r="J11" i="53"/>
  <c r="J12"/>
  <c r="G7" i="55"/>
  <c r="J7" s="1"/>
  <c r="L7" s="1"/>
  <c r="D10"/>
  <c r="G9"/>
  <c r="J9" s="1"/>
  <c r="L9" s="1"/>
  <c r="G8"/>
  <c r="J8" s="1"/>
  <c r="L8" s="1"/>
  <c r="D9" i="53"/>
  <c r="F8"/>
  <c r="H8" s="1"/>
  <c r="J8" s="1"/>
  <c r="D10" i="52"/>
  <c r="F9"/>
  <c r="H9" s="1"/>
  <c r="J9" s="1"/>
  <c r="F8"/>
  <c r="H8" s="1"/>
  <c r="J8" s="1"/>
  <c r="J12" i="48"/>
  <c r="F20" s="1"/>
  <c r="D22" i="60" l="1"/>
  <c r="G21"/>
  <c r="J21" s="1"/>
  <c r="L21" s="1"/>
  <c r="G29" i="55"/>
  <c r="F15" i="53"/>
  <c r="D11" i="55"/>
  <c r="G10"/>
  <c r="J10" s="1"/>
  <c r="L10" s="1"/>
  <c r="F9" i="53"/>
  <c r="H9" s="1"/>
  <c r="J9" s="1"/>
  <c r="D10"/>
  <c r="F10" s="1"/>
  <c r="H10" s="1"/>
  <c r="J10" s="1"/>
  <c r="D11" i="52"/>
  <c r="F10"/>
  <c r="H10" s="1"/>
  <c r="J10" s="1"/>
  <c r="I13" i="43"/>
  <c r="I11"/>
  <c r="I10"/>
  <c r="I9"/>
  <c r="I8"/>
  <c r="I7"/>
  <c r="E6"/>
  <c r="E7" i="47"/>
  <c r="F7" s="1"/>
  <c r="H9"/>
  <c r="E13"/>
  <c r="I13" s="1"/>
  <c r="H13"/>
  <c r="H14"/>
  <c r="H15"/>
  <c r="H16"/>
  <c r="H17"/>
  <c r="F25"/>
  <c r="J25" s="1"/>
  <c r="H25"/>
  <c r="F26"/>
  <c r="J26" s="1"/>
  <c r="H26"/>
  <c r="F27"/>
  <c r="J27" s="1"/>
  <c r="H27"/>
  <c r="F28"/>
  <c r="J28" s="1"/>
  <c r="H28"/>
  <c r="F29"/>
  <c r="J29" s="1"/>
  <c r="H29"/>
  <c r="F30"/>
  <c r="J30" s="1"/>
  <c r="H30"/>
  <c r="F31"/>
  <c r="H31"/>
  <c r="J31"/>
  <c r="F32"/>
  <c r="H32"/>
  <c r="J32"/>
  <c r="F33"/>
  <c r="J33" s="1"/>
  <c r="H33"/>
  <c r="F34"/>
  <c r="J34" s="1"/>
  <c r="H34"/>
  <c r="F35"/>
  <c r="J35" s="1"/>
  <c r="H35"/>
  <c r="F36"/>
  <c r="J36" s="1"/>
  <c r="H36"/>
  <c r="F37"/>
  <c r="J37" s="1"/>
  <c r="H37"/>
  <c r="F38"/>
  <c r="J38" s="1"/>
  <c r="H38"/>
  <c r="F39"/>
  <c r="H39"/>
  <c r="J39"/>
  <c r="F40"/>
  <c r="H40"/>
  <c r="J40"/>
  <c r="F41"/>
  <c r="J41" s="1"/>
  <c r="H41"/>
  <c r="F42"/>
  <c r="J42" s="1"/>
  <c r="H42"/>
  <c r="F43"/>
  <c r="J43" s="1"/>
  <c r="H43"/>
  <c r="F44"/>
  <c r="J44" s="1"/>
  <c r="H44"/>
  <c r="F45"/>
  <c r="J45" s="1"/>
  <c r="H45"/>
  <c r="F46"/>
  <c r="J46" s="1"/>
  <c r="H46"/>
  <c r="F47"/>
  <c r="H47"/>
  <c r="J47"/>
  <c r="F48"/>
  <c r="H48"/>
  <c r="J48"/>
  <c r="F49"/>
  <c r="J49" s="1"/>
  <c r="H49"/>
  <c r="F50"/>
  <c r="J50" s="1"/>
  <c r="H50"/>
  <c r="F51"/>
  <c r="J51" s="1"/>
  <c r="H51"/>
  <c r="F52"/>
  <c r="J52" s="1"/>
  <c r="H52"/>
  <c r="F53"/>
  <c r="J53" s="1"/>
  <c r="H53"/>
  <c r="F54"/>
  <c r="J54" s="1"/>
  <c r="H54"/>
  <c r="F55"/>
  <c r="H55"/>
  <c r="J55"/>
  <c r="F56"/>
  <c r="H56"/>
  <c r="J56"/>
  <c r="F57"/>
  <c r="J57" s="1"/>
  <c r="H57"/>
  <c r="F58"/>
  <c r="J58" s="1"/>
  <c r="H58"/>
  <c r="F59"/>
  <c r="J59" s="1"/>
  <c r="H59"/>
  <c r="F60"/>
  <c r="J60" s="1"/>
  <c r="H60"/>
  <c r="F61"/>
  <c r="J61" s="1"/>
  <c r="H61"/>
  <c r="F62"/>
  <c r="J62" s="1"/>
  <c r="H62"/>
  <c r="F63"/>
  <c r="H63"/>
  <c r="J63"/>
  <c r="F64"/>
  <c r="H64"/>
  <c r="J64"/>
  <c r="F65"/>
  <c r="J65" s="1"/>
  <c r="H65"/>
  <c r="F66"/>
  <c r="J66" s="1"/>
  <c r="H66"/>
  <c r="F67"/>
  <c r="J67" s="1"/>
  <c r="H67"/>
  <c r="F68"/>
  <c r="J68" s="1"/>
  <c r="H68"/>
  <c r="F69"/>
  <c r="J69" s="1"/>
  <c r="H69"/>
  <c r="F70"/>
  <c r="J70" s="1"/>
  <c r="H70"/>
  <c r="F71"/>
  <c r="H71"/>
  <c r="J71"/>
  <c r="F72"/>
  <c r="H72"/>
  <c r="J72"/>
  <c r="F73"/>
  <c r="J73" s="1"/>
  <c r="H73"/>
  <c r="F74"/>
  <c r="J74" s="1"/>
  <c r="H74"/>
  <c r="F75"/>
  <c r="J75" s="1"/>
  <c r="H75"/>
  <c r="F76"/>
  <c r="J76" s="1"/>
  <c r="H76"/>
  <c r="F77"/>
  <c r="J77" s="1"/>
  <c r="H77"/>
  <c r="F78"/>
  <c r="J78" s="1"/>
  <c r="H78"/>
  <c r="F79"/>
  <c r="H79"/>
  <c r="J79"/>
  <c r="F80"/>
  <c r="H80"/>
  <c r="J80"/>
  <c r="F81"/>
  <c r="J81" s="1"/>
  <c r="H81"/>
  <c r="F82"/>
  <c r="J82" s="1"/>
  <c r="H82"/>
  <c r="F83"/>
  <c r="J83" s="1"/>
  <c r="H83"/>
  <c r="F84"/>
  <c r="J84" s="1"/>
  <c r="H84"/>
  <c r="F85"/>
  <c r="J85" s="1"/>
  <c r="H85"/>
  <c r="F86"/>
  <c r="J86" s="1"/>
  <c r="H86"/>
  <c r="F87"/>
  <c r="H87"/>
  <c r="J87"/>
  <c r="F88"/>
  <c r="H88"/>
  <c r="J88"/>
  <c r="F89"/>
  <c r="J89" s="1"/>
  <c r="H89"/>
  <c r="F90"/>
  <c r="J90" s="1"/>
  <c r="H90"/>
  <c r="F91"/>
  <c r="J91" s="1"/>
  <c r="H91"/>
  <c r="F92"/>
  <c r="J92" s="1"/>
  <c r="H92"/>
  <c r="F93"/>
  <c r="J93" s="1"/>
  <c r="H93"/>
  <c r="F94"/>
  <c r="J94" s="1"/>
  <c r="H94"/>
  <c r="F95"/>
  <c r="H95"/>
  <c r="J95"/>
  <c r="F96"/>
  <c r="H96"/>
  <c r="J96"/>
  <c r="F97"/>
  <c r="J97" s="1"/>
  <c r="H97"/>
  <c r="F98"/>
  <c r="J98" s="1"/>
  <c r="H98"/>
  <c r="F99"/>
  <c r="J99" s="1"/>
  <c r="H99"/>
  <c r="F100"/>
  <c r="J100" s="1"/>
  <c r="H100"/>
  <c r="F101"/>
  <c r="J101" s="1"/>
  <c r="H101"/>
  <c r="F102"/>
  <c r="J102" s="1"/>
  <c r="H102"/>
  <c r="F103"/>
  <c r="H103"/>
  <c r="J103"/>
  <c r="F104"/>
  <c r="H104"/>
  <c r="J104"/>
  <c r="F105"/>
  <c r="J105" s="1"/>
  <c r="H105"/>
  <c r="F106"/>
  <c r="J106" s="1"/>
  <c r="H106"/>
  <c r="F107"/>
  <c r="J107" s="1"/>
  <c r="H107"/>
  <c r="F108"/>
  <c r="J108" s="1"/>
  <c r="H108"/>
  <c r="F109"/>
  <c r="J109" s="1"/>
  <c r="H109"/>
  <c r="F110"/>
  <c r="J110" s="1"/>
  <c r="H110"/>
  <c r="F111"/>
  <c r="H111"/>
  <c r="J111"/>
  <c r="F112"/>
  <c r="H112"/>
  <c r="J112"/>
  <c r="F113"/>
  <c r="J113" s="1"/>
  <c r="H113"/>
  <c r="F114"/>
  <c r="J114" s="1"/>
  <c r="H114"/>
  <c r="F115"/>
  <c r="J115" s="1"/>
  <c r="H115"/>
  <c r="F116"/>
  <c r="J116" s="1"/>
  <c r="H116"/>
  <c r="F117"/>
  <c r="J117" s="1"/>
  <c r="H117"/>
  <c r="F118"/>
  <c r="J118" s="1"/>
  <c r="H118"/>
  <c r="F119"/>
  <c r="H119"/>
  <c r="J119"/>
  <c r="F120"/>
  <c r="H120"/>
  <c r="J120"/>
  <c r="F121"/>
  <c r="J121" s="1"/>
  <c r="H121"/>
  <c r="F122"/>
  <c r="J122" s="1"/>
  <c r="H122"/>
  <c r="F123"/>
  <c r="J123" s="1"/>
  <c r="H123"/>
  <c r="F124"/>
  <c r="J124" s="1"/>
  <c r="H124"/>
  <c r="F125"/>
  <c r="J125" s="1"/>
  <c r="H125"/>
  <c r="F126"/>
  <c r="J126" s="1"/>
  <c r="H126"/>
  <c r="F127"/>
  <c r="H127"/>
  <c r="J127"/>
  <c r="F128"/>
  <c r="H128"/>
  <c r="J128"/>
  <c r="F129"/>
  <c r="J129" s="1"/>
  <c r="H129"/>
  <c r="F130"/>
  <c r="J130" s="1"/>
  <c r="H130"/>
  <c r="F131"/>
  <c r="J131" s="1"/>
  <c r="H131"/>
  <c r="F132"/>
  <c r="J132" s="1"/>
  <c r="H132"/>
  <c r="F133"/>
  <c r="J133" s="1"/>
  <c r="H133"/>
  <c r="F134"/>
  <c r="J134" s="1"/>
  <c r="H134"/>
  <c r="F135"/>
  <c r="H135"/>
  <c r="J135"/>
  <c r="F136"/>
  <c r="H136"/>
  <c r="J136"/>
  <c r="F137"/>
  <c r="J137" s="1"/>
  <c r="H137"/>
  <c r="F138"/>
  <c r="J138" s="1"/>
  <c r="H138"/>
  <c r="F139"/>
  <c r="J139" s="1"/>
  <c r="H139"/>
  <c r="F140"/>
  <c r="J140" s="1"/>
  <c r="H140"/>
  <c r="F141"/>
  <c r="J141" s="1"/>
  <c r="H141"/>
  <c r="F142"/>
  <c r="J142" s="1"/>
  <c r="H142"/>
  <c r="F143"/>
  <c r="H143"/>
  <c r="J143"/>
  <c r="F144"/>
  <c r="H144"/>
  <c r="J144"/>
  <c r="F145"/>
  <c r="J145" s="1"/>
  <c r="H145"/>
  <c r="F146"/>
  <c r="J146" s="1"/>
  <c r="H146"/>
  <c r="F147"/>
  <c r="J147" s="1"/>
  <c r="H147"/>
  <c r="F148"/>
  <c r="H148"/>
  <c r="J148"/>
  <c r="F149"/>
  <c r="H149"/>
  <c r="J149"/>
  <c r="F150"/>
  <c r="J150" s="1"/>
  <c r="H150"/>
  <c r="F151"/>
  <c r="H151"/>
  <c r="J151"/>
  <c r="F152"/>
  <c r="H152"/>
  <c r="J152"/>
  <c r="F153"/>
  <c r="J153" s="1"/>
  <c r="H153"/>
  <c r="F154"/>
  <c r="J154" s="1"/>
  <c r="H154"/>
  <c r="F155"/>
  <c r="J155" s="1"/>
  <c r="H155"/>
  <c r="F156"/>
  <c r="J156" s="1"/>
  <c r="H156"/>
  <c r="F157"/>
  <c r="J157" s="1"/>
  <c r="H157"/>
  <c r="F158"/>
  <c r="J158" s="1"/>
  <c r="H158"/>
  <c r="F159"/>
  <c r="J159" s="1"/>
  <c r="H159"/>
  <c r="F160"/>
  <c r="J160" s="1"/>
  <c r="H160"/>
  <c r="F161"/>
  <c r="J161" s="1"/>
  <c r="H161"/>
  <c r="F162"/>
  <c r="J162" s="1"/>
  <c r="H162"/>
  <c r="F163"/>
  <c r="J163" s="1"/>
  <c r="H163"/>
  <c r="F164"/>
  <c r="H164"/>
  <c r="J164"/>
  <c r="F165"/>
  <c r="H165"/>
  <c r="J165"/>
  <c r="F166"/>
  <c r="J166" s="1"/>
  <c r="H166"/>
  <c r="F167"/>
  <c r="H167"/>
  <c r="J167"/>
  <c r="F168"/>
  <c r="H168"/>
  <c r="J168"/>
  <c r="F169"/>
  <c r="J169" s="1"/>
  <c r="H169"/>
  <c r="F170"/>
  <c r="J170" s="1"/>
  <c r="H170"/>
  <c r="F171"/>
  <c r="J171" s="1"/>
  <c r="H171"/>
  <c r="F172"/>
  <c r="J172" s="1"/>
  <c r="H172"/>
  <c r="F173"/>
  <c r="J173" s="1"/>
  <c r="H173"/>
  <c r="F174"/>
  <c r="J174" s="1"/>
  <c r="H174"/>
  <c r="F175"/>
  <c r="J175" s="1"/>
  <c r="H175"/>
  <c r="F176"/>
  <c r="J176" s="1"/>
  <c r="H176"/>
  <c r="F177"/>
  <c r="J177" s="1"/>
  <c r="H177"/>
  <c r="F178"/>
  <c r="J178" s="1"/>
  <c r="H178"/>
  <c r="F179"/>
  <c r="J179" s="1"/>
  <c r="H179"/>
  <c r="F180"/>
  <c r="H180"/>
  <c r="J180"/>
  <c r="F181"/>
  <c r="H181"/>
  <c r="J181"/>
  <c r="F182"/>
  <c r="J182" s="1"/>
  <c r="H182"/>
  <c r="F183"/>
  <c r="H183"/>
  <c r="J183"/>
  <c r="F184"/>
  <c r="H184"/>
  <c r="J184"/>
  <c r="F185"/>
  <c r="J185" s="1"/>
  <c r="H185"/>
  <c r="F186"/>
  <c r="J186" s="1"/>
  <c r="H186"/>
  <c r="F187"/>
  <c r="J187" s="1"/>
  <c r="H187"/>
  <c r="F188"/>
  <c r="J188" s="1"/>
  <c r="H188"/>
  <c r="F189"/>
  <c r="J189" s="1"/>
  <c r="H189"/>
  <c r="F190"/>
  <c r="J190" s="1"/>
  <c r="H190"/>
  <c r="F191"/>
  <c r="J191" s="1"/>
  <c r="H191"/>
  <c r="F192"/>
  <c r="J192" s="1"/>
  <c r="H192"/>
  <c r="F193"/>
  <c r="J193" s="1"/>
  <c r="H193"/>
  <c r="F194"/>
  <c r="J194" s="1"/>
  <c r="H194"/>
  <c r="F195"/>
  <c r="J195" s="1"/>
  <c r="H195"/>
  <c r="F196"/>
  <c r="H196"/>
  <c r="J196"/>
  <c r="F197"/>
  <c r="H197"/>
  <c r="J197"/>
  <c r="F198"/>
  <c r="J198" s="1"/>
  <c r="H198"/>
  <c r="F199"/>
  <c r="H199"/>
  <c r="J199"/>
  <c r="F200"/>
  <c r="H200"/>
  <c r="J200"/>
  <c r="F201"/>
  <c r="J201" s="1"/>
  <c r="H201"/>
  <c r="F202"/>
  <c r="J202" s="1"/>
  <c r="H202"/>
  <c r="F203"/>
  <c r="J203" s="1"/>
  <c r="H203"/>
  <c r="F204"/>
  <c r="J204" s="1"/>
  <c r="H204"/>
  <c r="F205"/>
  <c r="J205" s="1"/>
  <c r="H205"/>
  <c r="F206"/>
  <c r="J206" s="1"/>
  <c r="H206"/>
  <c r="F207"/>
  <c r="J207" s="1"/>
  <c r="H207"/>
  <c r="F208"/>
  <c r="J208" s="1"/>
  <c r="H208"/>
  <c r="F209"/>
  <c r="J209" s="1"/>
  <c r="H209"/>
  <c r="F210"/>
  <c r="J210" s="1"/>
  <c r="H210"/>
  <c r="F211"/>
  <c r="J211" s="1"/>
  <c r="H211"/>
  <c r="F212"/>
  <c r="H212"/>
  <c r="J212"/>
  <c r="F213"/>
  <c r="H213"/>
  <c r="J213"/>
  <c r="F214"/>
  <c r="J214" s="1"/>
  <c r="H214"/>
  <c r="F215"/>
  <c r="H215"/>
  <c r="J215"/>
  <c r="F216"/>
  <c r="H216"/>
  <c r="J216"/>
  <c r="F217"/>
  <c r="J217" s="1"/>
  <c r="H217"/>
  <c r="F218"/>
  <c r="J218" s="1"/>
  <c r="H218"/>
  <c r="F219"/>
  <c r="J219" s="1"/>
  <c r="H219"/>
  <c r="F220"/>
  <c r="J220" s="1"/>
  <c r="H220"/>
  <c r="F221"/>
  <c r="J221" s="1"/>
  <c r="H221"/>
  <c r="F222"/>
  <c r="J222" s="1"/>
  <c r="H222"/>
  <c r="F223"/>
  <c r="J223" s="1"/>
  <c r="H223"/>
  <c r="F224"/>
  <c r="J224" s="1"/>
  <c r="H224"/>
  <c r="F225"/>
  <c r="J225" s="1"/>
  <c r="H225"/>
  <c r="F226"/>
  <c r="J226" s="1"/>
  <c r="H226"/>
  <c r="F227"/>
  <c r="J227" s="1"/>
  <c r="H227"/>
  <c r="F228"/>
  <c r="H228"/>
  <c r="J228"/>
  <c r="F229"/>
  <c r="H229"/>
  <c r="J229"/>
  <c r="F230"/>
  <c r="J230" s="1"/>
  <c r="H230"/>
  <c r="F231"/>
  <c r="H231"/>
  <c r="J231"/>
  <c r="F232"/>
  <c r="H232"/>
  <c r="J232"/>
  <c r="F233"/>
  <c r="J233" s="1"/>
  <c r="H233"/>
  <c r="F234"/>
  <c r="J234" s="1"/>
  <c r="H234"/>
  <c r="F235"/>
  <c r="J235" s="1"/>
  <c r="H235"/>
  <c r="F236"/>
  <c r="J236" s="1"/>
  <c r="H236"/>
  <c r="F237"/>
  <c r="J237" s="1"/>
  <c r="H237"/>
  <c r="F238"/>
  <c r="J238" s="1"/>
  <c r="H238"/>
  <c r="F239"/>
  <c r="J239" s="1"/>
  <c r="H239"/>
  <c r="F240"/>
  <c r="J240" s="1"/>
  <c r="H240"/>
  <c r="F241"/>
  <c r="J241" s="1"/>
  <c r="H241"/>
  <c r="F242"/>
  <c r="J242" s="1"/>
  <c r="H242"/>
  <c r="F243"/>
  <c r="J243" s="1"/>
  <c r="H243"/>
  <c r="F244"/>
  <c r="H244"/>
  <c r="J244"/>
  <c r="F245"/>
  <c r="H245"/>
  <c r="J245"/>
  <c r="F246"/>
  <c r="J246" s="1"/>
  <c r="H246"/>
  <c r="F247"/>
  <c r="H247"/>
  <c r="J247"/>
  <c r="F248"/>
  <c r="H248"/>
  <c r="J248"/>
  <c r="F249"/>
  <c r="J249" s="1"/>
  <c r="H249"/>
  <c r="F250"/>
  <c r="J250" s="1"/>
  <c r="H250"/>
  <c r="F251"/>
  <c r="J251" s="1"/>
  <c r="H251"/>
  <c r="F252"/>
  <c r="J252" s="1"/>
  <c r="H252"/>
  <c r="F253"/>
  <c r="J253" s="1"/>
  <c r="H253"/>
  <c r="F254"/>
  <c r="J254" s="1"/>
  <c r="H254"/>
  <c r="F255"/>
  <c r="J255" s="1"/>
  <c r="H255"/>
  <c r="F256"/>
  <c r="J256" s="1"/>
  <c r="H256"/>
  <c r="F257"/>
  <c r="J257" s="1"/>
  <c r="H257"/>
  <c r="F258"/>
  <c r="J258" s="1"/>
  <c r="H258"/>
  <c r="F259"/>
  <c r="J259" s="1"/>
  <c r="H259"/>
  <c r="F260"/>
  <c r="H260"/>
  <c r="J260"/>
  <c r="F261"/>
  <c r="H261"/>
  <c r="J261"/>
  <c r="F262"/>
  <c r="J262" s="1"/>
  <c r="H262"/>
  <c r="F263"/>
  <c r="H263"/>
  <c r="J263"/>
  <c r="F264"/>
  <c r="H264"/>
  <c r="J264"/>
  <c r="F265"/>
  <c r="J265" s="1"/>
  <c r="H265"/>
  <c r="F266"/>
  <c r="J266" s="1"/>
  <c r="H266"/>
  <c r="F267"/>
  <c r="J267" s="1"/>
  <c r="H267"/>
  <c r="F268"/>
  <c r="J268" s="1"/>
  <c r="H268"/>
  <c r="F269"/>
  <c r="J269" s="1"/>
  <c r="H269"/>
  <c r="F270"/>
  <c r="F271"/>
  <c r="J271" s="1"/>
  <c r="H271"/>
  <c r="F272"/>
  <c r="J272" s="1"/>
  <c r="H272"/>
  <c r="F273"/>
  <c r="J273" s="1"/>
  <c r="H273"/>
  <c r="F274"/>
  <c r="J274" s="1"/>
  <c r="H274"/>
  <c r="F275"/>
  <c r="H275"/>
  <c r="J275"/>
  <c r="F276"/>
  <c r="J276" s="1"/>
  <c r="H276"/>
  <c r="F277"/>
  <c r="J277" s="1"/>
  <c r="H277"/>
  <c r="F278"/>
  <c r="H278"/>
  <c r="J278"/>
  <c r="F279"/>
  <c r="J279" s="1"/>
  <c r="H279"/>
  <c r="F280"/>
  <c r="J280" s="1"/>
  <c r="H280"/>
  <c r="F281"/>
  <c r="H281"/>
  <c r="J281"/>
  <c r="F282"/>
  <c r="J282" s="1"/>
  <c r="H282"/>
  <c r="F283"/>
  <c r="J283" s="1"/>
  <c r="H283"/>
  <c r="F284"/>
  <c r="J284" s="1"/>
  <c r="H284"/>
  <c r="F285"/>
  <c r="J285" s="1"/>
  <c r="H285"/>
  <c r="F286"/>
  <c r="H286"/>
  <c r="J286"/>
  <c r="F287"/>
  <c r="J287" s="1"/>
  <c r="H287"/>
  <c r="F288"/>
  <c r="J288" s="1"/>
  <c r="H288"/>
  <c r="F289"/>
  <c r="J289" s="1"/>
  <c r="H289"/>
  <c r="F290"/>
  <c r="J290" s="1"/>
  <c r="H290"/>
  <c r="F291"/>
  <c r="H291"/>
  <c r="J291"/>
  <c r="F292"/>
  <c r="J292" s="1"/>
  <c r="H292"/>
  <c r="F293"/>
  <c r="J293" s="1"/>
  <c r="H293"/>
  <c r="F294"/>
  <c r="H294"/>
  <c r="J294"/>
  <c r="F295"/>
  <c r="J295" s="1"/>
  <c r="H295"/>
  <c r="F296"/>
  <c r="J296" s="1"/>
  <c r="H296"/>
  <c r="F297"/>
  <c r="H297"/>
  <c r="J297"/>
  <c r="F298"/>
  <c r="J298" s="1"/>
  <c r="H298"/>
  <c r="F299"/>
  <c r="J299" s="1"/>
  <c r="H299"/>
  <c r="F300"/>
  <c r="J300" s="1"/>
  <c r="H300"/>
  <c r="F301"/>
  <c r="J301" s="1"/>
  <c r="H301"/>
  <c r="F302"/>
  <c r="H302"/>
  <c r="J302"/>
  <c r="F303"/>
  <c r="J303" s="1"/>
  <c r="H303"/>
  <c r="F304"/>
  <c r="J304" s="1"/>
  <c r="H304"/>
  <c r="F305"/>
  <c r="J305" s="1"/>
  <c r="H305"/>
  <c r="F306"/>
  <c r="J306" s="1"/>
  <c r="H306"/>
  <c r="F307"/>
  <c r="H307"/>
  <c r="J307"/>
  <c r="F308"/>
  <c r="J308" s="1"/>
  <c r="H308"/>
  <c r="F309"/>
  <c r="J309" s="1"/>
  <c r="H309"/>
  <c r="F310"/>
  <c r="H310"/>
  <c r="J310"/>
  <c r="F311"/>
  <c r="J311" s="1"/>
  <c r="H311"/>
  <c r="F312"/>
  <c r="J312" s="1"/>
  <c r="H312"/>
  <c r="F313"/>
  <c r="H313"/>
  <c r="J313"/>
  <c r="F314"/>
  <c r="J314" s="1"/>
  <c r="H314"/>
  <c r="F315"/>
  <c r="J315" s="1"/>
  <c r="H315"/>
  <c r="F316"/>
  <c r="J316" s="1"/>
  <c r="H316"/>
  <c r="F317"/>
  <c r="J317" s="1"/>
  <c r="H317"/>
  <c r="F318"/>
  <c r="H318"/>
  <c r="J318"/>
  <c r="F319"/>
  <c r="J319" s="1"/>
  <c r="H319"/>
  <c r="F320"/>
  <c r="J320" s="1"/>
  <c r="H320"/>
  <c r="F321"/>
  <c r="J321" s="1"/>
  <c r="H321"/>
  <c r="F322"/>
  <c r="J322" s="1"/>
  <c r="H322"/>
  <c r="F323"/>
  <c r="H323"/>
  <c r="J323"/>
  <c r="F324"/>
  <c r="J324" s="1"/>
  <c r="H324"/>
  <c r="F325"/>
  <c r="J325" s="1"/>
  <c r="H325"/>
  <c r="F326"/>
  <c r="H326"/>
  <c r="J326"/>
  <c r="F327"/>
  <c r="J327" s="1"/>
  <c r="H327"/>
  <c r="F328"/>
  <c r="J328" s="1"/>
  <c r="H328"/>
  <c r="F329"/>
  <c r="H329"/>
  <c r="J329"/>
  <c r="F330"/>
  <c r="J330" s="1"/>
  <c r="H330"/>
  <c r="F331"/>
  <c r="J331" s="1"/>
  <c r="H331"/>
  <c r="F332"/>
  <c r="J332" s="1"/>
  <c r="H332"/>
  <c r="F333"/>
  <c r="J333" s="1"/>
  <c r="H333"/>
  <c r="F334"/>
  <c r="H334"/>
  <c r="J334"/>
  <c r="F335"/>
  <c r="J335" s="1"/>
  <c r="H335"/>
  <c r="F336"/>
  <c r="J336" s="1"/>
  <c r="H336"/>
  <c r="F337"/>
  <c r="J337" s="1"/>
  <c r="H337"/>
  <c r="F338"/>
  <c r="J338" s="1"/>
  <c r="H338"/>
  <c r="F339"/>
  <c r="H339"/>
  <c r="J339"/>
  <c r="F340"/>
  <c r="J340" s="1"/>
  <c r="H340"/>
  <c r="F341"/>
  <c r="J341" s="1"/>
  <c r="H341"/>
  <c r="F342"/>
  <c r="H342"/>
  <c r="J342"/>
  <c r="F343"/>
  <c r="J343" s="1"/>
  <c r="H343"/>
  <c r="F344"/>
  <c r="J344" s="1"/>
  <c r="H344"/>
  <c r="F345"/>
  <c r="J345" s="1"/>
  <c r="H345"/>
  <c r="F346"/>
  <c r="J346" s="1"/>
  <c r="H346"/>
  <c r="F347"/>
  <c r="H347"/>
  <c r="J347"/>
  <c r="F348"/>
  <c r="J348" s="1"/>
  <c r="H348"/>
  <c r="F349"/>
  <c r="J349" s="1"/>
  <c r="H349"/>
  <c r="F350"/>
  <c r="H350"/>
  <c r="J350"/>
  <c r="F351"/>
  <c r="J351" s="1"/>
  <c r="H351"/>
  <c r="F352"/>
  <c r="J352" s="1"/>
  <c r="H352"/>
  <c r="F353"/>
  <c r="J353" s="1"/>
  <c r="H353"/>
  <c r="F354"/>
  <c r="J354" s="1"/>
  <c r="H354"/>
  <c r="F355"/>
  <c r="H355"/>
  <c r="J355"/>
  <c r="F356"/>
  <c r="J356" s="1"/>
  <c r="H356"/>
  <c r="F357"/>
  <c r="J357" s="1"/>
  <c r="H357"/>
  <c r="F358"/>
  <c r="H358"/>
  <c r="J358"/>
  <c r="F359"/>
  <c r="J359" s="1"/>
  <c r="H359"/>
  <c r="F360"/>
  <c r="J360" s="1"/>
  <c r="H360"/>
  <c r="F361"/>
  <c r="J361" s="1"/>
  <c r="H361"/>
  <c r="F362"/>
  <c r="J362" s="1"/>
  <c r="H362"/>
  <c r="F363"/>
  <c r="H363"/>
  <c r="J363"/>
  <c r="F364"/>
  <c r="J364" s="1"/>
  <c r="H364"/>
  <c r="F365"/>
  <c r="J365" s="1"/>
  <c r="H365"/>
  <c r="F366"/>
  <c r="H366"/>
  <c r="J366"/>
  <c r="F367"/>
  <c r="J367" s="1"/>
  <c r="H367"/>
  <c r="F368"/>
  <c r="J368" s="1"/>
  <c r="H368"/>
  <c r="F369"/>
  <c r="J369" s="1"/>
  <c r="H369"/>
  <c r="F370"/>
  <c r="J370" s="1"/>
  <c r="H370"/>
  <c r="F371"/>
  <c r="H371"/>
  <c r="J371"/>
  <c r="F372"/>
  <c r="J372" s="1"/>
  <c r="H372"/>
  <c r="F373"/>
  <c r="J373" s="1"/>
  <c r="H373"/>
  <c r="F374"/>
  <c r="H374"/>
  <c r="J374"/>
  <c r="F375"/>
  <c r="J375" s="1"/>
  <c r="H375"/>
  <c r="F376"/>
  <c r="J376" s="1"/>
  <c r="H376"/>
  <c r="F377"/>
  <c r="J377" s="1"/>
  <c r="H377"/>
  <c r="F378"/>
  <c r="J378" s="1"/>
  <c r="H378"/>
  <c r="F379"/>
  <c r="H379"/>
  <c r="J379"/>
  <c r="F380"/>
  <c r="J380" s="1"/>
  <c r="H380"/>
  <c r="F381"/>
  <c r="J381" s="1"/>
  <c r="H381"/>
  <c r="F382"/>
  <c r="H382"/>
  <c r="J382"/>
  <c r="F383"/>
  <c r="J383" s="1"/>
  <c r="H383"/>
  <c r="F384"/>
  <c r="J384" s="1"/>
  <c r="H384"/>
  <c r="F385"/>
  <c r="J385" s="1"/>
  <c r="H385"/>
  <c r="F386"/>
  <c r="J386" s="1"/>
  <c r="H386"/>
  <c r="F387"/>
  <c r="H387"/>
  <c r="J387"/>
  <c r="F388"/>
  <c r="J388" s="1"/>
  <c r="H388"/>
  <c r="F389"/>
  <c r="J389" s="1"/>
  <c r="H389"/>
  <c r="F390"/>
  <c r="H390"/>
  <c r="J390"/>
  <c r="F391"/>
  <c r="J391" s="1"/>
  <c r="H391"/>
  <c r="F392"/>
  <c r="J392" s="1"/>
  <c r="H392"/>
  <c r="F393"/>
  <c r="J393" s="1"/>
  <c r="H393"/>
  <c r="F394"/>
  <c r="J394" s="1"/>
  <c r="H394"/>
  <c r="F395"/>
  <c r="H395"/>
  <c r="J395"/>
  <c r="F396"/>
  <c r="J396" s="1"/>
  <c r="H396"/>
  <c r="F397"/>
  <c r="J397" s="1"/>
  <c r="H397"/>
  <c r="F398"/>
  <c r="H398"/>
  <c r="J398"/>
  <c r="F399"/>
  <c r="J399" s="1"/>
  <c r="H399"/>
  <c r="F400"/>
  <c r="J400" s="1"/>
  <c r="H400"/>
  <c r="F401"/>
  <c r="J401" s="1"/>
  <c r="H401"/>
  <c r="F402"/>
  <c r="J402" s="1"/>
  <c r="H402"/>
  <c r="F403"/>
  <c r="H403"/>
  <c r="J403"/>
  <c r="F404"/>
  <c r="J404" s="1"/>
  <c r="H404"/>
  <c r="F405"/>
  <c r="J405" s="1"/>
  <c r="H405"/>
  <c r="F406"/>
  <c r="H406"/>
  <c r="J406"/>
  <c r="F407"/>
  <c r="J407" s="1"/>
  <c r="H407"/>
  <c r="F408"/>
  <c r="J408" s="1"/>
  <c r="H408"/>
  <c r="F409"/>
  <c r="J409" s="1"/>
  <c r="H409"/>
  <c r="F410"/>
  <c r="J410" s="1"/>
  <c r="H410"/>
  <c r="F411"/>
  <c r="H411"/>
  <c r="J411"/>
  <c r="F412"/>
  <c r="J412" s="1"/>
  <c r="H412"/>
  <c r="F413"/>
  <c r="J413" s="1"/>
  <c r="H413"/>
  <c r="F414"/>
  <c r="H414"/>
  <c r="J414"/>
  <c r="F415"/>
  <c r="J415" s="1"/>
  <c r="H415"/>
  <c r="F416"/>
  <c r="J416" s="1"/>
  <c r="H416"/>
  <c r="F417"/>
  <c r="J417" s="1"/>
  <c r="H417"/>
  <c r="F418"/>
  <c r="J418" s="1"/>
  <c r="H418"/>
  <c r="F419"/>
  <c r="H419"/>
  <c r="J419"/>
  <c r="F420"/>
  <c r="J420" s="1"/>
  <c r="H420"/>
  <c r="F421"/>
  <c r="J421" s="1"/>
  <c r="H421"/>
  <c r="F422"/>
  <c r="H422"/>
  <c r="J422"/>
  <c r="F423"/>
  <c r="J423" s="1"/>
  <c r="H423"/>
  <c r="F424"/>
  <c r="J424" s="1"/>
  <c r="H424"/>
  <c r="F425"/>
  <c r="J425" s="1"/>
  <c r="H425"/>
  <c r="F426"/>
  <c r="J426" s="1"/>
  <c r="H426"/>
  <c r="F427"/>
  <c r="H427"/>
  <c r="J427"/>
  <c r="F428"/>
  <c r="J428" s="1"/>
  <c r="H428"/>
  <c r="F429"/>
  <c r="J429" s="1"/>
  <c r="H429"/>
  <c r="F430"/>
  <c r="H430"/>
  <c r="J430"/>
  <c r="F431"/>
  <c r="J431" s="1"/>
  <c r="H431"/>
  <c r="F432"/>
  <c r="J432" s="1"/>
  <c r="H432"/>
  <c r="F433"/>
  <c r="J433" s="1"/>
  <c r="H433"/>
  <c r="F434"/>
  <c r="J434" s="1"/>
  <c r="H434"/>
  <c r="F435"/>
  <c r="H435"/>
  <c r="J435"/>
  <c r="F436"/>
  <c r="J436" s="1"/>
  <c r="H436"/>
  <c r="F437"/>
  <c r="J437" s="1"/>
  <c r="H437"/>
  <c r="F438"/>
  <c r="H438"/>
  <c r="J438"/>
  <c r="F439"/>
  <c r="J439" s="1"/>
  <c r="H439"/>
  <c r="F440"/>
  <c r="J440" s="1"/>
  <c r="H440"/>
  <c r="F441"/>
  <c r="J441" s="1"/>
  <c r="H441"/>
  <c r="F442"/>
  <c r="J442" s="1"/>
  <c r="H442"/>
  <c r="F443"/>
  <c r="H443"/>
  <c r="J443"/>
  <c r="F444"/>
  <c r="J444" s="1"/>
  <c r="H444"/>
  <c r="F445"/>
  <c r="J445" s="1"/>
  <c r="H445"/>
  <c r="F446"/>
  <c r="H446"/>
  <c r="J446"/>
  <c r="F447"/>
  <c r="J447" s="1"/>
  <c r="H447"/>
  <c r="F448"/>
  <c r="J448" s="1"/>
  <c r="H448"/>
  <c r="F449"/>
  <c r="J449" s="1"/>
  <c r="H449"/>
  <c r="F450"/>
  <c r="J450" s="1"/>
  <c r="H450"/>
  <c r="F451"/>
  <c r="H451"/>
  <c r="J451"/>
  <c r="F452"/>
  <c r="J452" s="1"/>
  <c r="H452"/>
  <c r="F453"/>
  <c r="J453" s="1"/>
  <c r="H453"/>
  <c r="F454"/>
  <c r="H454"/>
  <c r="J454"/>
  <c r="F455"/>
  <c r="J455" s="1"/>
  <c r="H455"/>
  <c r="F456"/>
  <c r="J456" s="1"/>
  <c r="H456"/>
  <c r="F457"/>
  <c r="J457" s="1"/>
  <c r="H457"/>
  <c r="F458"/>
  <c r="J458" s="1"/>
  <c r="H458"/>
  <c r="F459"/>
  <c r="H459"/>
  <c r="J459"/>
  <c r="F460"/>
  <c r="J460" s="1"/>
  <c r="H460"/>
  <c r="F461"/>
  <c r="J461" s="1"/>
  <c r="H461"/>
  <c r="F462"/>
  <c r="H462"/>
  <c r="J462"/>
  <c r="F463"/>
  <c r="J463" s="1"/>
  <c r="H463"/>
  <c r="F464"/>
  <c r="J464" s="1"/>
  <c r="H464"/>
  <c r="F465"/>
  <c r="J465" s="1"/>
  <c r="H465"/>
  <c r="F466"/>
  <c r="J466" s="1"/>
  <c r="H466"/>
  <c r="F467"/>
  <c r="H467"/>
  <c r="J467"/>
  <c r="F468"/>
  <c r="J468" s="1"/>
  <c r="H468"/>
  <c r="F469"/>
  <c r="J469" s="1"/>
  <c r="H469"/>
  <c r="F470"/>
  <c r="H470"/>
  <c r="J470"/>
  <c r="F471"/>
  <c r="J471" s="1"/>
  <c r="H471"/>
  <c r="F472"/>
  <c r="J472" s="1"/>
  <c r="H472"/>
  <c r="F473"/>
  <c r="J473" s="1"/>
  <c r="H473"/>
  <c r="F474"/>
  <c r="J474" s="1"/>
  <c r="H474"/>
  <c r="F475"/>
  <c r="H475"/>
  <c r="J475"/>
  <c r="F476"/>
  <c r="J476" s="1"/>
  <c r="H476"/>
  <c r="F477"/>
  <c r="J477" s="1"/>
  <c r="H477"/>
  <c r="F478"/>
  <c r="H478"/>
  <c r="J478"/>
  <c r="F479"/>
  <c r="J479" s="1"/>
  <c r="H479"/>
  <c r="F480"/>
  <c r="J480" s="1"/>
  <c r="H480"/>
  <c r="F481"/>
  <c r="J481" s="1"/>
  <c r="H481"/>
  <c r="F482"/>
  <c r="J482" s="1"/>
  <c r="H482"/>
  <c r="F483"/>
  <c r="H483"/>
  <c r="J483"/>
  <c r="F484"/>
  <c r="J484" s="1"/>
  <c r="H484"/>
  <c r="F485"/>
  <c r="J485" s="1"/>
  <c r="H485"/>
  <c r="F486"/>
  <c r="H486"/>
  <c r="J486"/>
  <c r="F487"/>
  <c r="J487" s="1"/>
  <c r="H487"/>
  <c r="F488"/>
  <c r="J488" s="1"/>
  <c r="H488"/>
  <c r="F489"/>
  <c r="J489" s="1"/>
  <c r="H489"/>
  <c r="F490"/>
  <c r="J490" s="1"/>
  <c r="H490"/>
  <c r="F491"/>
  <c r="H491"/>
  <c r="J491"/>
  <c r="F492"/>
  <c r="J492" s="1"/>
  <c r="H492"/>
  <c r="F493"/>
  <c r="J493" s="1"/>
  <c r="H493"/>
  <c r="F494"/>
  <c r="H494"/>
  <c r="J494"/>
  <c r="F495"/>
  <c r="J495" s="1"/>
  <c r="H495"/>
  <c r="F496"/>
  <c r="J496" s="1"/>
  <c r="H496"/>
  <c r="F497"/>
  <c r="J497" s="1"/>
  <c r="H497"/>
  <c r="F498"/>
  <c r="J498" s="1"/>
  <c r="H498"/>
  <c r="F499"/>
  <c r="H499"/>
  <c r="J499"/>
  <c r="F500"/>
  <c r="J500" s="1"/>
  <c r="H500"/>
  <c r="F501"/>
  <c r="J501" s="1"/>
  <c r="H501"/>
  <c r="F502"/>
  <c r="H502"/>
  <c r="J502"/>
  <c r="F503"/>
  <c r="J503" s="1"/>
  <c r="H503"/>
  <c r="F504"/>
  <c r="J504" s="1"/>
  <c r="H504"/>
  <c r="F505"/>
  <c r="J505" s="1"/>
  <c r="H505"/>
  <c r="F506"/>
  <c r="J506" s="1"/>
  <c r="H506"/>
  <c r="F507"/>
  <c r="H507"/>
  <c r="J507"/>
  <c r="F508"/>
  <c r="J508" s="1"/>
  <c r="H508"/>
  <c r="F509"/>
  <c r="J509" s="1"/>
  <c r="H509"/>
  <c r="F510"/>
  <c r="H510"/>
  <c r="J510"/>
  <c r="F511"/>
  <c r="J511" s="1"/>
  <c r="H511"/>
  <c r="F512"/>
  <c r="J512" s="1"/>
  <c r="H512"/>
  <c r="F513"/>
  <c r="J513" s="1"/>
  <c r="H513"/>
  <c r="F514"/>
  <c r="J514" s="1"/>
  <c r="H514"/>
  <c r="F515"/>
  <c r="H515"/>
  <c r="J515"/>
  <c r="F516"/>
  <c r="J516" s="1"/>
  <c r="H516"/>
  <c r="F517"/>
  <c r="J517" s="1"/>
  <c r="H517"/>
  <c r="F518"/>
  <c r="H518"/>
  <c r="J518"/>
  <c r="F519"/>
  <c r="J519" s="1"/>
  <c r="H519"/>
  <c r="F520"/>
  <c r="J520" s="1"/>
  <c r="H520"/>
  <c r="F521"/>
  <c r="J521" s="1"/>
  <c r="H521"/>
  <c r="F522"/>
  <c r="J522" s="1"/>
  <c r="H522"/>
  <c r="F523"/>
  <c r="H523"/>
  <c r="J523"/>
  <c r="F524"/>
  <c r="J524" s="1"/>
  <c r="H524"/>
  <c r="F525"/>
  <c r="J525" s="1"/>
  <c r="H525"/>
  <c r="F526"/>
  <c r="H526"/>
  <c r="J526"/>
  <c r="E527"/>
  <c r="F527"/>
  <c r="J527" s="1"/>
  <c r="E528"/>
  <c r="I528" s="1"/>
  <c r="F528"/>
  <c r="H528"/>
  <c r="E529"/>
  <c r="H529"/>
  <c r="I529"/>
  <c r="E530"/>
  <c r="I530" s="1"/>
  <c r="H530"/>
  <c r="E531"/>
  <c r="I531" s="1"/>
  <c r="H531"/>
  <c r="E532"/>
  <c r="I532" s="1"/>
  <c r="H532"/>
  <c r="E533"/>
  <c r="I533" s="1"/>
  <c r="H533"/>
  <c r="E534"/>
  <c r="I534" s="1"/>
  <c r="H534"/>
  <c r="E535"/>
  <c r="I535" s="1"/>
  <c r="H535"/>
  <c r="E536"/>
  <c r="I536" s="1"/>
  <c r="H536"/>
  <c r="E537"/>
  <c r="H537"/>
  <c r="I537"/>
  <c r="E538"/>
  <c r="H538"/>
  <c r="I538"/>
  <c r="E539"/>
  <c r="I539" s="1"/>
  <c r="H539"/>
  <c r="E540"/>
  <c r="I540" s="1"/>
  <c r="H540"/>
  <c r="E541"/>
  <c r="I541" s="1"/>
  <c r="H541"/>
  <c r="E542"/>
  <c r="H542"/>
  <c r="I542"/>
  <c r="E543"/>
  <c r="I543" s="1"/>
  <c r="H543"/>
  <c r="E544"/>
  <c r="I544" s="1"/>
  <c r="H544"/>
  <c r="E545"/>
  <c r="H545"/>
  <c r="I545"/>
  <c r="E546"/>
  <c r="I546" s="1"/>
  <c r="H546"/>
  <c r="E547"/>
  <c r="I547" s="1"/>
  <c r="H547"/>
  <c r="E548"/>
  <c r="I548" s="1"/>
  <c r="H548"/>
  <c r="E549"/>
  <c r="I549" s="1"/>
  <c r="H549"/>
  <c r="E550"/>
  <c r="H550"/>
  <c r="I550"/>
  <c r="E551"/>
  <c r="I551" s="1"/>
  <c r="H551"/>
  <c r="E552"/>
  <c r="I552" s="1"/>
  <c r="H552"/>
  <c r="E553"/>
  <c r="H553"/>
  <c r="I553"/>
  <c r="E554"/>
  <c r="I554" s="1"/>
  <c r="H554"/>
  <c r="E555"/>
  <c r="I555" s="1"/>
  <c r="H555"/>
  <c r="E556"/>
  <c r="I556" s="1"/>
  <c r="H556"/>
  <c r="E557"/>
  <c r="I557" s="1"/>
  <c r="H557"/>
  <c r="E558"/>
  <c r="H558"/>
  <c r="I558"/>
  <c r="E559"/>
  <c r="I559" s="1"/>
  <c r="H559"/>
  <c r="E560"/>
  <c r="I560" s="1"/>
  <c r="H560"/>
  <c r="E561"/>
  <c r="H561"/>
  <c r="I561"/>
  <c r="E562"/>
  <c r="I562" s="1"/>
  <c r="H562"/>
  <c r="E563"/>
  <c r="I563" s="1"/>
  <c r="H563"/>
  <c r="E564"/>
  <c r="I564" s="1"/>
  <c r="H564"/>
  <c r="E565"/>
  <c r="I565" s="1"/>
  <c r="H565"/>
  <c r="E566"/>
  <c r="I566" s="1"/>
  <c r="H566"/>
  <c r="E567"/>
  <c r="I567" s="1"/>
  <c r="H567"/>
  <c r="E568"/>
  <c r="I568" s="1"/>
  <c r="H568"/>
  <c r="E569"/>
  <c r="H569"/>
  <c r="I569"/>
  <c r="E570"/>
  <c r="H570"/>
  <c r="I570"/>
  <c r="E571"/>
  <c r="I571" s="1"/>
  <c r="H571"/>
  <c r="E572"/>
  <c r="I572" s="1"/>
  <c r="H572"/>
  <c r="E573"/>
  <c r="I573" s="1"/>
  <c r="H573"/>
  <c r="E574"/>
  <c r="H574"/>
  <c r="I574"/>
  <c r="E575"/>
  <c r="I575" s="1"/>
  <c r="H575"/>
  <c r="E576"/>
  <c r="I576" s="1"/>
  <c r="H576"/>
  <c r="E577"/>
  <c r="H577"/>
  <c r="I577"/>
  <c r="E578"/>
  <c r="I578" s="1"/>
  <c r="H578"/>
  <c r="E579"/>
  <c r="I579" s="1"/>
  <c r="H579"/>
  <c r="E580"/>
  <c r="I580" s="1"/>
  <c r="H580"/>
  <c r="E581"/>
  <c r="I581" s="1"/>
  <c r="H581"/>
  <c r="E582"/>
  <c r="H582"/>
  <c r="I582"/>
  <c r="E583"/>
  <c r="I583" s="1"/>
  <c r="H583"/>
  <c r="E584"/>
  <c r="I584" s="1"/>
  <c r="H584"/>
  <c r="E585"/>
  <c r="H585"/>
  <c r="I585"/>
  <c r="E586"/>
  <c r="I586" s="1"/>
  <c r="H586"/>
  <c r="E587"/>
  <c r="I587" s="1"/>
  <c r="H587"/>
  <c r="E588"/>
  <c r="I588" s="1"/>
  <c r="H588"/>
  <c r="E589"/>
  <c r="I589" s="1"/>
  <c r="H589"/>
  <c r="E590"/>
  <c r="I590" s="1"/>
  <c r="H590"/>
  <c r="E591"/>
  <c r="I591" s="1"/>
  <c r="H591"/>
  <c r="E592"/>
  <c r="I592" s="1"/>
  <c r="H592"/>
  <c r="E593"/>
  <c r="H593"/>
  <c r="I593"/>
  <c r="E594"/>
  <c r="H594"/>
  <c r="I594"/>
  <c r="E595"/>
  <c r="I595" s="1"/>
  <c r="H595"/>
  <c r="E596"/>
  <c r="I596" s="1"/>
  <c r="H596"/>
  <c r="E597"/>
  <c r="I597" s="1"/>
  <c r="H597"/>
  <c r="E598"/>
  <c r="I598" s="1"/>
  <c r="H598"/>
  <c r="E599"/>
  <c r="I599" s="1"/>
  <c r="H599"/>
  <c r="E600"/>
  <c r="I600" s="1"/>
  <c r="H600"/>
  <c r="E601"/>
  <c r="I601" s="1"/>
  <c r="H601"/>
  <c r="E602"/>
  <c r="I602" s="1"/>
  <c r="H602"/>
  <c r="E603"/>
  <c r="H603"/>
  <c r="I603"/>
  <c r="E604"/>
  <c r="I604" s="1"/>
  <c r="H604"/>
  <c r="E605"/>
  <c r="I605" s="1"/>
  <c r="H605"/>
  <c r="E606"/>
  <c r="H606"/>
  <c r="I606"/>
  <c r="E607"/>
  <c r="I607" s="1"/>
  <c r="H607"/>
  <c r="E608"/>
  <c r="I608" s="1"/>
  <c r="H608"/>
  <c r="E609"/>
  <c r="H609"/>
  <c r="I609"/>
  <c r="E610"/>
  <c r="I610" s="1"/>
  <c r="H610"/>
  <c r="E611"/>
  <c r="I611" s="1"/>
  <c r="H611"/>
  <c r="E612"/>
  <c r="I612" s="1"/>
  <c r="H612"/>
  <c r="E613"/>
  <c r="I613" s="1"/>
  <c r="H613"/>
  <c r="E614"/>
  <c r="H614"/>
  <c r="I614"/>
  <c r="E615"/>
  <c r="I615" s="1"/>
  <c r="H615"/>
  <c r="E616"/>
  <c r="I616" s="1"/>
  <c r="H616"/>
  <c r="E617"/>
  <c r="I617" s="1"/>
  <c r="H617"/>
  <c r="E618"/>
  <c r="I618" s="1"/>
  <c r="H618"/>
  <c r="E619"/>
  <c r="I619" s="1"/>
  <c r="H619"/>
  <c r="E620"/>
  <c r="I620" s="1"/>
  <c r="H620"/>
  <c r="E621"/>
  <c r="I621" s="1"/>
  <c r="H621"/>
  <c r="E622"/>
  <c r="H622"/>
  <c r="I622"/>
  <c r="E623"/>
  <c r="H623"/>
  <c r="I623"/>
  <c r="E624"/>
  <c r="I624" s="1"/>
  <c r="H624"/>
  <c r="E625"/>
  <c r="H625"/>
  <c r="I625"/>
  <c r="E626"/>
  <c r="H626"/>
  <c r="I626"/>
  <c r="E627"/>
  <c r="I627" s="1"/>
  <c r="H627"/>
  <c r="E628"/>
  <c r="I628" s="1"/>
  <c r="H628"/>
  <c r="E629"/>
  <c r="I629" s="1"/>
  <c r="H629"/>
  <c r="E630"/>
  <c r="I630" s="1"/>
  <c r="H630"/>
  <c r="E631"/>
  <c r="I631" s="1"/>
  <c r="H631"/>
  <c r="E632"/>
  <c r="I632" s="1"/>
  <c r="H632"/>
  <c r="E633"/>
  <c r="I633" s="1"/>
  <c r="H633"/>
  <c r="E634"/>
  <c r="I634" s="1"/>
  <c r="H634"/>
  <c r="E635"/>
  <c r="H635"/>
  <c r="I635"/>
  <c r="E636"/>
  <c r="I636" s="1"/>
  <c r="H636"/>
  <c r="E637"/>
  <c r="I637" s="1"/>
  <c r="H637"/>
  <c r="E638"/>
  <c r="H638"/>
  <c r="I638"/>
  <c r="E639"/>
  <c r="I639" s="1"/>
  <c r="H639"/>
  <c r="E640"/>
  <c r="I640" s="1"/>
  <c r="H640"/>
  <c r="E641"/>
  <c r="H641"/>
  <c r="I641"/>
  <c r="E642"/>
  <c r="I642" s="1"/>
  <c r="H642"/>
  <c r="E643"/>
  <c r="I643" s="1"/>
  <c r="H643"/>
  <c r="E644"/>
  <c r="I644" s="1"/>
  <c r="H644"/>
  <c r="E645"/>
  <c r="I645" s="1"/>
  <c r="H645"/>
  <c r="E646"/>
  <c r="H646"/>
  <c r="I646"/>
  <c r="E647"/>
  <c r="I647" s="1"/>
  <c r="H647"/>
  <c r="E648"/>
  <c r="I648" s="1"/>
  <c r="H648"/>
  <c r="E649"/>
  <c r="I649" s="1"/>
  <c r="H649"/>
  <c r="E650"/>
  <c r="I650" s="1"/>
  <c r="H650"/>
  <c r="E651"/>
  <c r="I651" s="1"/>
  <c r="H651"/>
  <c r="E652"/>
  <c r="I652" s="1"/>
  <c r="H652"/>
  <c r="E653"/>
  <c r="I653" s="1"/>
  <c r="H653"/>
  <c r="E654"/>
  <c r="H654"/>
  <c r="I654"/>
  <c r="E655"/>
  <c r="H655"/>
  <c r="I655"/>
  <c r="E656"/>
  <c r="I656" s="1"/>
  <c r="H656"/>
  <c r="E657"/>
  <c r="H657"/>
  <c r="I657"/>
  <c r="E658"/>
  <c r="H658"/>
  <c r="I658"/>
  <c r="E659"/>
  <c r="I659" s="1"/>
  <c r="H659"/>
  <c r="E660"/>
  <c r="I660" s="1"/>
  <c r="H660"/>
  <c r="E661"/>
  <c r="I661" s="1"/>
  <c r="H661"/>
  <c r="E662"/>
  <c r="I662" s="1"/>
  <c r="H662"/>
  <c r="E663"/>
  <c r="I663" s="1"/>
  <c r="H663"/>
  <c r="E664"/>
  <c r="I664" s="1"/>
  <c r="H664"/>
  <c r="E665"/>
  <c r="I665" s="1"/>
  <c r="H665"/>
  <c r="E666"/>
  <c r="I666" s="1"/>
  <c r="H666"/>
  <c r="E667"/>
  <c r="H667"/>
  <c r="I667"/>
  <c r="E668"/>
  <c r="I668" s="1"/>
  <c r="H668"/>
  <c r="E669"/>
  <c r="I669" s="1"/>
  <c r="H669"/>
  <c r="E670"/>
  <c r="H670"/>
  <c r="I670"/>
  <c r="E671"/>
  <c r="I671" s="1"/>
  <c r="H671"/>
  <c r="E672"/>
  <c r="I672" s="1"/>
  <c r="H672"/>
  <c r="E673"/>
  <c r="H673"/>
  <c r="I673"/>
  <c r="E674"/>
  <c r="I674" s="1"/>
  <c r="H674"/>
  <c r="E675"/>
  <c r="I675" s="1"/>
  <c r="H675"/>
  <c r="E676"/>
  <c r="I676" s="1"/>
  <c r="H676"/>
  <c r="E677"/>
  <c r="I677" s="1"/>
  <c r="H677"/>
  <c r="E678"/>
  <c r="H678"/>
  <c r="I678"/>
  <c r="E679"/>
  <c r="I679" s="1"/>
  <c r="H679"/>
  <c r="E680"/>
  <c r="I680" s="1"/>
  <c r="H680"/>
  <c r="E681"/>
  <c r="I681" s="1"/>
  <c r="H681"/>
  <c r="E682"/>
  <c r="I682" s="1"/>
  <c r="H682"/>
  <c r="E683"/>
  <c r="H683"/>
  <c r="I683"/>
  <c r="E684"/>
  <c r="I684" s="1"/>
  <c r="H684"/>
  <c r="E685"/>
  <c r="I685" s="1"/>
  <c r="H685"/>
  <c r="E686"/>
  <c r="H686"/>
  <c r="I686"/>
  <c r="E687"/>
  <c r="I687" s="1"/>
  <c r="H687"/>
  <c r="E688"/>
  <c r="I688" s="1"/>
  <c r="H688"/>
  <c r="E689"/>
  <c r="H689"/>
  <c r="I689"/>
  <c r="E690"/>
  <c r="I690" s="1"/>
  <c r="H690"/>
  <c r="E691"/>
  <c r="I691" s="1"/>
  <c r="H691"/>
  <c r="E692"/>
  <c r="I692" s="1"/>
  <c r="H692"/>
  <c r="E693"/>
  <c r="I693" s="1"/>
  <c r="H693"/>
  <c r="E694"/>
  <c r="H694"/>
  <c r="I694"/>
  <c r="E695"/>
  <c r="I695" s="1"/>
  <c r="H695"/>
  <c r="E696"/>
  <c r="I696" s="1"/>
  <c r="H696"/>
  <c r="E697"/>
  <c r="I697" s="1"/>
  <c r="H697"/>
  <c r="E698"/>
  <c r="I698" s="1"/>
  <c r="H698"/>
  <c r="E699"/>
  <c r="H699"/>
  <c r="I699"/>
  <c r="E700"/>
  <c r="I700" s="1"/>
  <c r="H700"/>
  <c r="E701"/>
  <c r="I701" s="1"/>
  <c r="H701"/>
  <c r="E702"/>
  <c r="H702"/>
  <c r="I702"/>
  <c r="E703"/>
  <c r="I703" s="1"/>
  <c r="H703"/>
  <c r="E704"/>
  <c r="I704" s="1"/>
  <c r="H704"/>
  <c r="E705"/>
  <c r="H705"/>
  <c r="I705"/>
  <c r="E706"/>
  <c r="I706" s="1"/>
  <c r="H706"/>
  <c r="E707"/>
  <c r="I707" s="1"/>
  <c r="H707"/>
  <c r="E708"/>
  <c r="I708" s="1"/>
  <c r="H708"/>
  <c r="E709"/>
  <c r="I709" s="1"/>
  <c r="H709"/>
  <c r="E710"/>
  <c r="H710"/>
  <c r="I710"/>
  <c r="E711"/>
  <c r="I711" s="1"/>
  <c r="H711"/>
  <c r="E712"/>
  <c r="I712" s="1"/>
  <c r="H712"/>
  <c r="E713"/>
  <c r="I713" s="1"/>
  <c r="H713"/>
  <c r="E714"/>
  <c r="I714" s="1"/>
  <c r="H714"/>
  <c r="E715"/>
  <c r="H715"/>
  <c r="I715"/>
  <c r="E716"/>
  <c r="I716" s="1"/>
  <c r="H716"/>
  <c r="E717"/>
  <c r="I717" s="1"/>
  <c r="H717"/>
  <c r="E718"/>
  <c r="H718"/>
  <c r="I718"/>
  <c r="E719"/>
  <c r="I719" s="1"/>
  <c r="H719"/>
  <c r="E720"/>
  <c r="I720" s="1"/>
  <c r="H720"/>
  <c r="E721"/>
  <c r="H721"/>
  <c r="I721"/>
  <c r="E722"/>
  <c r="I722" s="1"/>
  <c r="H722"/>
  <c r="E723"/>
  <c r="I723" s="1"/>
  <c r="H723"/>
  <c r="E724"/>
  <c r="I724" s="1"/>
  <c r="H724"/>
  <c r="E725"/>
  <c r="I725" s="1"/>
  <c r="H725"/>
  <c r="E726"/>
  <c r="H726"/>
  <c r="I726"/>
  <c r="E727"/>
  <c r="I727" s="1"/>
  <c r="H727"/>
  <c r="E728"/>
  <c r="I728" s="1"/>
  <c r="H728"/>
  <c r="E729"/>
  <c r="I729" s="1"/>
  <c r="H729"/>
  <c r="E730"/>
  <c r="I730" s="1"/>
  <c r="H730"/>
  <c r="E731"/>
  <c r="H731"/>
  <c r="I731"/>
  <c r="E732"/>
  <c r="I732" s="1"/>
  <c r="H732"/>
  <c r="E733"/>
  <c r="F733"/>
  <c r="E734"/>
  <c r="I734" s="1"/>
  <c r="F734"/>
  <c r="H734"/>
  <c r="E735"/>
  <c r="I735" s="1"/>
  <c r="H735"/>
  <c r="E736"/>
  <c r="H736"/>
  <c r="I736"/>
  <c r="E737"/>
  <c r="H737"/>
  <c r="I737"/>
  <c r="E738"/>
  <c r="I738" s="1"/>
  <c r="H738"/>
  <c r="E739"/>
  <c r="I739" s="1"/>
  <c r="H739"/>
  <c r="E740"/>
  <c r="I740" s="1"/>
  <c r="H740"/>
  <c r="E741"/>
  <c r="I741" s="1"/>
  <c r="H741"/>
  <c r="E742"/>
  <c r="I742" s="1"/>
  <c r="H742"/>
  <c r="E743"/>
  <c r="I743" s="1"/>
  <c r="H743"/>
  <c r="E744"/>
  <c r="I744" s="1"/>
  <c r="H744"/>
  <c r="E745"/>
  <c r="I745" s="1"/>
  <c r="H745"/>
  <c r="E746"/>
  <c r="I746" s="1"/>
  <c r="H746"/>
  <c r="E747"/>
  <c r="I747" s="1"/>
  <c r="H747"/>
  <c r="E748"/>
  <c r="I748" s="1"/>
  <c r="H748"/>
  <c r="E749"/>
  <c r="H749"/>
  <c r="I749"/>
  <c r="E750"/>
  <c r="H750"/>
  <c r="I750"/>
  <c r="E751"/>
  <c r="I751" s="1"/>
  <c r="H751"/>
  <c r="E752"/>
  <c r="H752"/>
  <c r="I752"/>
  <c r="E753"/>
  <c r="H753"/>
  <c r="I753"/>
  <c r="E754"/>
  <c r="I754" s="1"/>
  <c r="H754"/>
  <c r="E755"/>
  <c r="I755" s="1"/>
  <c r="H755"/>
  <c r="E756"/>
  <c r="I756" s="1"/>
  <c r="H756"/>
  <c r="E757"/>
  <c r="I757" s="1"/>
  <c r="H757"/>
  <c r="E758"/>
  <c r="I758" s="1"/>
  <c r="H758"/>
  <c r="E759"/>
  <c r="I759" s="1"/>
  <c r="H759"/>
  <c r="E760"/>
  <c r="H760"/>
  <c r="I760"/>
  <c r="E761"/>
  <c r="I761" s="1"/>
  <c r="H761"/>
  <c r="E762"/>
  <c r="I762" s="1"/>
  <c r="H762"/>
  <c r="E763"/>
  <c r="H763"/>
  <c r="I763"/>
  <c r="E764"/>
  <c r="I764" s="1"/>
  <c r="H764"/>
  <c r="E765"/>
  <c r="I765" s="1"/>
  <c r="H765"/>
  <c r="E766"/>
  <c r="I766" s="1"/>
  <c r="H766"/>
  <c r="E767"/>
  <c r="I767" s="1"/>
  <c r="H767"/>
  <c r="E768"/>
  <c r="H768"/>
  <c r="I768"/>
  <c r="E769"/>
  <c r="I769" s="1"/>
  <c r="H769"/>
  <c r="E770"/>
  <c r="I770" s="1"/>
  <c r="H770"/>
  <c r="E771"/>
  <c r="H771"/>
  <c r="I771"/>
  <c r="E772"/>
  <c r="I772" s="1"/>
  <c r="H772"/>
  <c r="E773"/>
  <c r="I773" s="1"/>
  <c r="H773"/>
  <c r="E774"/>
  <c r="I774" s="1"/>
  <c r="H774"/>
  <c r="E775"/>
  <c r="I775" s="1"/>
  <c r="H775"/>
  <c r="E776"/>
  <c r="H776"/>
  <c r="I776"/>
  <c r="E777"/>
  <c r="I777" s="1"/>
  <c r="H777"/>
  <c r="E778"/>
  <c r="I778" s="1"/>
  <c r="H778"/>
  <c r="E779"/>
  <c r="H779"/>
  <c r="I779"/>
  <c r="E780"/>
  <c r="I780" s="1"/>
  <c r="H780"/>
  <c r="E781"/>
  <c r="I781" s="1"/>
  <c r="H781"/>
  <c r="E782"/>
  <c r="I782" s="1"/>
  <c r="H782"/>
  <c r="E783"/>
  <c r="I783" s="1"/>
  <c r="H783"/>
  <c r="E784"/>
  <c r="H784"/>
  <c r="I784"/>
  <c r="E785"/>
  <c r="I785" s="1"/>
  <c r="H785"/>
  <c r="E786"/>
  <c r="I786" s="1"/>
  <c r="H786"/>
  <c r="E787"/>
  <c r="H787"/>
  <c r="I787"/>
  <c r="E788"/>
  <c r="I788" s="1"/>
  <c r="H788"/>
  <c r="E789"/>
  <c r="I789" s="1"/>
  <c r="H789"/>
  <c r="E790"/>
  <c r="I790" s="1"/>
  <c r="H790"/>
  <c r="E791"/>
  <c r="I791" s="1"/>
  <c r="H791"/>
  <c r="E792"/>
  <c r="H792"/>
  <c r="I792"/>
  <c r="E793"/>
  <c r="I793" s="1"/>
  <c r="H793"/>
  <c r="E794"/>
  <c r="I794" s="1"/>
  <c r="H794"/>
  <c r="E795"/>
  <c r="H795"/>
  <c r="I795"/>
  <c r="E796"/>
  <c r="I796" s="1"/>
  <c r="H796"/>
  <c r="E797"/>
  <c r="I797" s="1"/>
  <c r="H797"/>
  <c r="E798"/>
  <c r="I798" s="1"/>
  <c r="H798"/>
  <c r="E799"/>
  <c r="I799" s="1"/>
  <c r="H799"/>
  <c r="E800"/>
  <c r="H800"/>
  <c r="I800"/>
  <c r="E801"/>
  <c r="I801" s="1"/>
  <c r="H801"/>
  <c r="E802"/>
  <c r="I802" s="1"/>
  <c r="H802"/>
  <c r="E803"/>
  <c r="H803"/>
  <c r="I803"/>
  <c r="E804"/>
  <c r="I804" s="1"/>
  <c r="H804"/>
  <c r="E805"/>
  <c r="I805" s="1"/>
  <c r="H805"/>
  <c r="E806"/>
  <c r="I806" s="1"/>
  <c r="H806"/>
  <c r="E807"/>
  <c r="I807" s="1"/>
  <c r="H807"/>
  <c r="E808"/>
  <c r="H808"/>
  <c r="I808"/>
  <c r="E809"/>
  <c r="I809" s="1"/>
  <c r="H809"/>
  <c r="E810"/>
  <c r="I810" s="1"/>
  <c r="H810"/>
  <c r="E811"/>
  <c r="H811"/>
  <c r="I811"/>
  <c r="E812"/>
  <c r="I812" s="1"/>
  <c r="H812"/>
  <c r="E813"/>
  <c r="I813" s="1"/>
  <c r="H813"/>
  <c r="E814"/>
  <c r="I814" s="1"/>
  <c r="H814"/>
  <c r="E815"/>
  <c r="I815" s="1"/>
  <c r="H815"/>
  <c r="E816"/>
  <c r="H816"/>
  <c r="I816"/>
  <c r="E817"/>
  <c r="I817" s="1"/>
  <c r="H817"/>
  <c r="E818"/>
  <c r="I818" s="1"/>
  <c r="H818"/>
  <c r="E819"/>
  <c r="H819"/>
  <c r="I819"/>
  <c r="E820"/>
  <c r="I820" s="1"/>
  <c r="H820"/>
  <c r="E821"/>
  <c r="I821" s="1"/>
  <c r="H821"/>
  <c r="E822"/>
  <c r="I822" s="1"/>
  <c r="H822"/>
  <c r="E823"/>
  <c r="I823" s="1"/>
  <c r="H823"/>
  <c r="E824"/>
  <c r="H824"/>
  <c r="I824"/>
  <c r="E825"/>
  <c r="I825" s="1"/>
  <c r="H825"/>
  <c r="E826"/>
  <c r="I826" s="1"/>
  <c r="H826"/>
  <c r="E827"/>
  <c r="H827"/>
  <c r="I827"/>
  <c r="E828"/>
  <c r="I828" s="1"/>
  <c r="H828"/>
  <c r="E829"/>
  <c r="I829" s="1"/>
  <c r="H829"/>
  <c r="E830"/>
  <c r="I830" s="1"/>
  <c r="H830"/>
  <c r="E831"/>
  <c r="I831" s="1"/>
  <c r="H831"/>
  <c r="E832"/>
  <c r="H832"/>
  <c r="I832"/>
  <c r="E833"/>
  <c r="I833" s="1"/>
  <c r="H833"/>
  <c r="E834"/>
  <c r="I834" s="1"/>
  <c r="H834"/>
  <c r="E835"/>
  <c r="H835"/>
  <c r="I835"/>
  <c r="E836"/>
  <c r="I836" s="1"/>
  <c r="H836"/>
  <c r="E837"/>
  <c r="I837" s="1"/>
  <c r="H837"/>
  <c r="E838"/>
  <c r="I838" s="1"/>
  <c r="H838"/>
  <c r="E839"/>
  <c r="I839" s="1"/>
  <c r="H839"/>
  <c r="E840"/>
  <c r="H840"/>
  <c r="I840"/>
  <c r="E841"/>
  <c r="I841" s="1"/>
  <c r="H841"/>
  <c r="E842"/>
  <c r="I842" s="1"/>
  <c r="H842"/>
  <c r="E843"/>
  <c r="H843"/>
  <c r="I843"/>
  <c r="E844"/>
  <c r="I844" s="1"/>
  <c r="H844"/>
  <c r="E845"/>
  <c r="I845" s="1"/>
  <c r="H845"/>
  <c r="E846"/>
  <c r="I846" s="1"/>
  <c r="H846"/>
  <c r="E847"/>
  <c r="I847" s="1"/>
  <c r="H847"/>
  <c r="E848"/>
  <c r="H848"/>
  <c r="I848"/>
  <c r="E849"/>
  <c r="I849" s="1"/>
  <c r="H849"/>
  <c r="E850"/>
  <c r="I850" s="1"/>
  <c r="H850"/>
  <c r="E851"/>
  <c r="H851"/>
  <c r="I851"/>
  <c r="E852"/>
  <c r="I852" s="1"/>
  <c r="H852"/>
  <c r="E853"/>
  <c r="I853" s="1"/>
  <c r="H853"/>
  <c r="E854"/>
  <c r="I854" s="1"/>
  <c r="H854"/>
  <c r="E855"/>
  <c r="I855" s="1"/>
  <c r="H855"/>
  <c r="E856"/>
  <c r="H856"/>
  <c r="I856"/>
  <c r="E857"/>
  <c r="I857" s="1"/>
  <c r="H857"/>
  <c r="E858"/>
  <c r="I858" s="1"/>
  <c r="H858"/>
  <c r="E859"/>
  <c r="H859"/>
  <c r="I859"/>
  <c r="E860"/>
  <c r="I860" s="1"/>
  <c r="H860"/>
  <c r="E861"/>
  <c r="I861" s="1"/>
  <c r="H861"/>
  <c r="E862"/>
  <c r="I862" s="1"/>
  <c r="H862"/>
  <c r="E863"/>
  <c r="I863" s="1"/>
  <c r="H863"/>
  <c r="E864"/>
  <c r="H864"/>
  <c r="I864"/>
  <c r="E865"/>
  <c r="I865" s="1"/>
  <c r="H865"/>
  <c r="E866"/>
  <c r="I866" s="1"/>
  <c r="H866"/>
  <c r="E867"/>
  <c r="H867"/>
  <c r="I867"/>
  <c r="E868"/>
  <c r="I868" s="1"/>
  <c r="H868"/>
  <c r="E869"/>
  <c r="I869" s="1"/>
  <c r="H869"/>
  <c r="E870"/>
  <c r="I870" s="1"/>
  <c r="H870"/>
  <c r="E871"/>
  <c r="I871" s="1"/>
  <c r="H871"/>
  <c r="E872"/>
  <c r="H872"/>
  <c r="I872"/>
  <c r="E873"/>
  <c r="I873" s="1"/>
  <c r="H873"/>
  <c r="E874"/>
  <c r="I874" s="1"/>
  <c r="H874"/>
  <c r="E875"/>
  <c r="H875"/>
  <c r="I875"/>
  <c r="E876"/>
  <c r="I876" s="1"/>
  <c r="H876"/>
  <c r="E877"/>
  <c r="I877" s="1"/>
  <c r="H877"/>
  <c r="E878"/>
  <c r="I878" s="1"/>
  <c r="H878"/>
  <c r="E879"/>
  <c r="I879" s="1"/>
  <c r="H879"/>
  <c r="E880"/>
  <c r="H880"/>
  <c r="I880"/>
  <c r="E881"/>
  <c r="I881" s="1"/>
  <c r="H881"/>
  <c r="E882"/>
  <c r="I882" s="1"/>
  <c r="H882"/>
  <c r="E883"/>
  <c r="H883"/>
  <c r="I883"/>
  <c r="E884"/>
  <c r="I884" s="1"/>
  <c r="H884"/>
  <c r="E885"/>
  <c r="I885" s="1"/>
  <c r="H885"/>
  <c r="E886"/>
  <c r="I886" s="1"/>
  <c r="H886"/>
  <c r="E887"/>
  <c r="I887" s="1"/>
  <c r="H887"/>
  <c r="E888"/>
  <c r="H888"/>
  <c r="I888"/>
  <c r="E889"/>
  <c r="I889" s="1"/>
  <c r="H889"/>
  <c r="E890"/>
  <c r="I890" s="1"/>
  <c r="H890"/>
  <c r="E891"/>
  <c r="H891"/>
  <c r="I891"/>
  <c r="E892"/>
  <c r="I892" s="1"/>
  <c r="H892"/>
  <c r="E893"/>
  <c r="I893" s="1"/>
  <c r="H893"/>
  <c r="E894"/>
  <c r="I894" s="1"/>
  <c r="H894"/>
  <c r="E895"/>
  <c r="I895" s="1"/>
  <c r="H895"/>
  <c r="E896"/>
  <c r="H896"/>
  <c r="I896"/>
  <c r="E897"/>
  <c r="I897" s="1"/>
  <c r="H897"/>
  <c r="E898"/>
  <c r="I898" s="1"/>
  <c r="H898"/>
  <c r="E899"/>
  <c r="H899"/>
  <c r="I899"/>
  <c r="E900"/>
  <c r="I900" s="1"/>
  <c r="H900"/>
  <c r="E901"/>
  <c r="I901" s="1"/>
  <c r="H901"/>
  <c r="E902"/>
  <c r="I902" s="1"/>
  <c r="H902"/>
  <c r="E903"/>
  <c r="I903" s="1"/>
  <c r="H903"/>
  <c r="E904"/>
  <c r="H904"/>
  <c r="I904"/>
  <c r="E905"/>
  <c r="I905" s="1"/>
  <c r="H905"/>
  <c r="E906"/>
  <c r="I906" s="1"/>
  <c r="H906"/>
  <c r="E907"/>
  <c r="H907"/>
  <c r="I907"/>
  <c r="E908"/>
  <c r="I908" s="1"/>
  <c r="H908"/>
  <c r="E909"/>
  <c r="I909" s="1"/>
  <c r="H909"/>
  <c r="E910"/>
  <c r="I910" s="1"/>
  <c r="H910"/>
  <c r="E911"/>
  <c r="I911" s="1"/>
  <c r="H911"/>
  <c r="E912"/>
  <c r="H912"/>
  <c r="I912"/>
  <c r="E913"/>
  <c r="I913" s="1"/>
  <c r="H913"/>
  <c r="E914"/>
  <c r="I914" s="1"/>
  <c r="H914"/>
  <c r="E915"/>
  <c r="H915"/>
  <c r="I915"/>
  <c r="E916"/>
  <c r="I916" s="1"/>
  <c r="H916"/>
  <c r="E917"/>
  <c r="I917" s="1"/>
  <c r="H917"/>
  <c r="E918"/>
  <c r="I918" s="1"/>
  <c r="H918"/>
  <c r="E919"/>
  <c r="I919" s="1"/>
  <c r="H919"/>
  <c r="E920"/>
  <c r="H920"/>
  <c r="I920"/>
  <c r="E921"/>
  <c r="I921" s="1"/>
  <c r="H921"/>
  <c r="E922"/>
  <c r="I922" s="1"/>
  <c r="H922"/>
  <c r="E923"/>
  <c r="H923"/>
  <c r="I923"/>
  <c r="E924"/>
  <c r="I924" s="1"/>
  <c r="H924"/>
  <c r="E925"/>
  <c r="I925" s="1"/>
  <c r="H925"/>
  <c r="E926"/>
  <c r="I926" s="1"/>
  <c r="H926"/>
  <c r="E927"/>
  <c r="I927" s="1"/>
  <c r="H927"/>
  <c r="E928"/>
  <c r="H928"/>
  <c r="I928"/>
  <c r="E929"/>
  <c r="I929" s="1"/>
  <c r="H929"/>
  <c r="E930"/>
  <c r="I930" s="1"/>
  <c r="H930"/>
  <c r="E931"/>
  <c r="H931"/>
  <c r="I931"/>
  <c r="E932"/>
  <c r="I932" s="1"/>
  <c r="H932"/>
  <c r="E933"/>
  <c r="I933" s="1"/>
  <c r="H933"/>
  <c r="E934"/>
  <c r="I934" s="1"/>
  <c r="H934"/>
  <c r="E935"/>
  <c r="I935" s="1"/>
  <c r="H935"/>
  <c r="E936"/>
  <c r="H936"/>
  <c r="I936"/>
  <c r="E937"/>
  <c r="I937" s="1"/>
  <c r="H937"/>
  <c r="E938"/>
  <c r="I938" s="1"/>
  <c r="H938"/>
  <c r="E939"/>
  <c r="H939"/>
  <c r="I939"/>
  <c r="E940"/>
  <c r="I940" s="1"/>
  <c r="H940"/>
  <c r="E941"/>
  <c r="I941" s="1"/>
  <c r="H941"/>
  <c r="E942"/>
  <c r="H942"/>
  <c r="I942"/>
  <c r="E943"/>
  <c r="I943" s="1"/>
  <c r="H943"/>
  <c r="E944"/>
  <c r="I944" s="1"/>
  <c r="H944"/>
  <c r="E945"/>
  <c r="I945" s="1"/>
  <c r="H945"/>
  <c r="E946"/>
  <c r="I946" s="1"/>
  <c r="H946"/>
  <c r="E947"/>
  <c r="H947"/>
  <c r="I947"/>
  <c r="E948"/>
  <c r="I948" s="1"/>
  <c r="H948"/>
  <c r="E949"/>
  <c r="I949" s="1"/>
  <c r="H949"/>
  <c r="E950"/>
  <c r="H950"/>
  <c r="I950"/>
  <c r="E951"/>
  <c r="I951" s="1"/>
  <c r="H951"/>
  <c r="E952"/>
  <c r="I952" s="1"/>
  <c r="H952"/>
  <c r="E953"/>
  <c r="I953" s="1"/>
  <c r="H953"/>
  <c r="E954"/>
  <c r="I954" s="1"/>
  <c r="H954"/>
  <c r="E955"/>
  <c r="H955"/>
  <c r="I955"/>
  <c r="E956"/>
  <c r="I956" s="1"/>
  <c r="H956"/>
  <c r="E957"/>
  <c r="I957" s="1"/>
  <c r="H957"/>
  <c r="E958"/>
  <c r="H958"/>
  <c r="I958"/>
  <c r="E959"/>
  <c r="I959" s="1"/>
  <c r="H959"/>
  <c r="E960"/>
  <c r="I960" s="1"/>
  <c r="H960"/>
  <c r="E961"/>
  <c r="I961" s="1"/>
  <c r="H961"/>
  <c r="E962"/>
  <c r="I962" s="1"/>
  <c r="H962"/>
  <c r="E963"/>
  <c r="H963"/>
  <c r="I963"/>
  <c r="E964"/>
  <c r="I964" s="1"/>
  <c r="H964"/>
  <c r="E965"/>
  <c r="I965" s="1"/>
  <c r="H965"/>
  <c r="E966"/>
  <c r="H966"/>
  <c r="I966"/>
  <c r="E967"/>
  <c r="I967" s="1"/>
  <c r="H967"/>
  <c r="E968"/>
  <c r="I968" s="1"/>
  <c r="H968"/>
  <c r="E969"/>
  <c r="I969" s="1"/>
  <c r="H969"/>
  <c r="E970"/>
  <c r="I970" s="1"/>
  <c r="H970"/>
  <c r="E971"/>
  <c r="H971"/>
  <c r="I971"/>
  <c r="E972"/>
  <c r="I972" s="1"/>
  <c r="H972"/>
  <c r="E973"/>
  <c r="I973" s="1"/>
  <c r="H973"/>
  <c r="E974"/>
  <c r="H974"/>
  <c r="I974"/>
  <c r="E975"/>
  <c r="I975" s="1"/>
  <c r="H975"/>
  <c r="E976"/>
  <c r="I976" s="1"/>
  <c r="H976"/>
  <c r="E977"/>
  <c r="I977" s="1"/>
  <c r="H977"/>
  <c r="E978"/>
  <c r="I978" s="1"/>
  <c r="H978"/>
  <c r="E979"/>
  <c r="H979"/>
  <c r="I979"/>
  <c r="E980"/>
  <c r="I980" s="1"/>
  <c r="H980"/>
  <c r="E981"/>
  <c r="I981" s="1"/>
  <c r="H981"/>
  <c r="E982"/>
  <c r="H982"/>
  <c r="I982"/>
  <c r="E983"/>
  <c r="F983"/>
  <c r="E984"/>
  <c r="I984" s="1"/>
  <c r="H984"/>
  <c r="E985"/>
  <c r="I985" s="1"/>
  <c r="H985"/>
  <c r="E986"/>
  <c r="I986" s="1"/>
  <c r="H986"/>
  <c r="E987"/>
  <c r="I987" s="1"/>
  <c r="H987"/>
  <c r="E988"/>
  <c r="I988" s="1"/>
  <c r="H988"/>
  <c r="E989"/>
  <c r="H989"/>
  <c r="I989"/>
  <c r="E990"/>
  <c r="H990"/>
  <c r="I990"/>
  <c r="E991"/>
  <c r="I991" s="1"/>
  <c r="H991"/>
  <c r="E992"/>
  <c r="I992" s="1"/>
  <c r="H992"/>
  <c r="E993"/>
  <c r="I993" s="1"/>
  <c r="H993"/>
  <c r="E994"/>
  <c r="I994" s="1"/>
  <c r="H994"/>
  <c r="E995"/>
  <c r="I995" s="1"/>
  <c r="H995"/>
  <c r="E996"/>
  <c r="I996" s="1"/>
  <c r="H996"/>
  <c r="E997"/>
  <c r="H997"/>
  <c r="I997"/>
  <c r="E998"/>
  <c r="H998"/>
  <c r="I998"/>
  <c r="E999"/>
  <c r="I999" s="1"/>
  <c r="H999"/>
  <c r="E1000"/>
  <c r="I1000" s="1"/>
  <c r="H1000"/>
  <c r="E1001"/>
  <c r="I1001" s="1"/>
  <c r="H1001"/>
  <c r="E1002"/>
  <c r="I1002" s="1"/>
  <c r="H1002"/>
  <c r="E1003"/>
  <c r="I1003" s="1"/>
  <c r="H1003"/>
  <c r="E1004"/>
  <c r="I1004" s="1"/>
  <c r="H1004"/>
  <c r="E1005"/>
  <c r="H1005"/>
  <c r="I1005"/>
  <c r="E1006"/>
  <c r="H1006"/>
  <c r="I1006"/>
  <c r="E1007"/>
  <c r="I1007" s="1"/>
  <c r="H1007"/>
  <c r="E1008"/>
  <c r="I1008" s="1"/>
  <c r="H1008"/>
  <c r="E1009"/>
  <c r="I1009" s="1"/>
  <c r="H1009"/>
  <c r="E1010"/>
  <c r="I1010" s="1"/>
  <c r="H1010"/>
  <c r="E1011"/>
  <c r="I1011" s="1"/>
  <c r="H1011"/>
  <c r="E1012"/>
  <c r="I1012" s="1"/>
  <c r="H1012"/>
  <c r="E1013"/>
  <c r="H1013"/>
  <c r="I1013"/>
  <c r="E1014"/>
  <c r="H1014"/>
  <c r="I1014"/>
  <c r="E1015"/>
  <c r="I1015" s="1"/>
  <c r="H1015"/>
  <c r="E1016"/>
  <c r="I1016" s="1"/>
  <c r="H1016"/>
  <c r="E1017"/>
  <c r="I1017" s="1"/>
  <c r="H1017"/>
  <c r="E1018"/>
  <c r="I1018" s="1"/>
  <c r="H1018"/>
  <c r="E1019"/>
  <c r="I1019" s="1"/>
  <c r="H1019"/>
  <c r="E1020"/>
  <c r="I1020" s="1"/>
  <c r="H1020"/>
  <c r="E1021"/>
  <c r="H1021"/>
  <c r="I1021"/>
  <c r="E1022"/>
  <c r="H1022"/>
  <c r="I1022"/>
  <c r="E1023"/>
  <c r="I1023" s="1"/>
  <c r="H1023"/>
  <c r="E1024"/>
  <c r="I1024" s="1"/>
  <c r="H1024"/>
  <c r="E1025"/>
  <c r="I1025" s="1"/>
  <c r="H1025"/>
  <c r="E1026"/>
  <c r="I1026" s="1"/>
  <c r="H1026"/>
  <c r="E1027"/>
  <c r="E1028"/>
  <c r="I1028" s="1"/>
  <c r="H1028"/>
  <c r="E1029"/>
  <c r="I1029" s="1"/>
  <c r="H1029"/>
  <c r="E1030"/>
  <c r="I1030" s="1"/>
  <c r="H1030"/>
  <c r="E1031"/>
  <c r="H1031"/>
  <c r="I1031"/>
  <c r="E1032"/>
  <c r="H1032"/>
  <c r="I1032"/>
  <c r="E1033"/>
  <c r="I1033" s="1"/>
  <c r="H1033"/>
  <c r="E1034"/>
  <c r="I1034" s="1"/>
  <c r="H1034"/>
  <c r="E1035"/>
  <c r="I1035" s="1"/>
  <c r="H1035"/>
  <c r="E1036"/>
  <c r="I1036" s="1"/>
  <c r="H1036"/>
  <c r="E1037"/>
  <c r="I1037" s="1"/>
  <c r="H1037"/>
  <c r="E1038"/>
  <c r="I1038" s="1"/>
  <c r="H1038"/>
  <c r="E1039"/>
  <c r="H1039"/>
  <c r="I1039"/>
  <c r="E1040"/>
  <c r="H1040"/>
  <c r="I1040"/>
  <c r="E1041"/>
  <c r="I1041" s="1"/>
  <c r="H1041"/>
  <c r="E1042"/>
  <c r="I1042" s="1"/>
  <c r="H1042"/>
  <c r="E1043"/>
  <c r="I1043" s="1"/>
  <c r="H1043"/>
  <c r="E1044"/>
  <c r="I1044" s="1"/>
  <c r="H1044"/>
  <c r="E1045"/>
  <c r="I1045" s="1"/>
  <c r="H1045"/>
  <c r="E1046"/>
  <c r="I1046" s="1"/>
  <c r="H1046"/>
  <c r="E1047"/>
  <c r="H1047"/>
  <c r="I1047"/>
  <c r="E1048"/>
  <c r="H1048"/>
  <c r="I1048"/>
  <c r="E1049"/>
  <c r="I1049" s="1"/>
  <c r="H1049"/>
  <c r="E1050"/>
  <c r="I1050" s="1"/>
  <c r="H1050"/>
  <c r="E1051"/>
  <c r="I1051" s="1"/>
  <c r="H1051"/>
  <c r="E1052"/>
  <c r="I1052" s="1"/>
  <c r="H1052"/>
  <c r="E1053"/>
  <c r="I1053" s="1"/>
  <c r="H1053"/>
  <c r="E1054"/>
  <c r="I1054" s="1"/>
  <c r="H1054"/>
  <c r="E1055"/>
  <c r="H1055"/>
  <c r="I1055"/>
  <c r="E1056"/>
  <c r="H1056"/>
  <c r="I1056"/>
  <c r="E1057"/>
  <c r="I1057" s="1"/>
  <c r="H1057"/>
  <c r="E1058"/>
  <c r="I1058" s="1"/>
  <c r="H1058"/>
  <c r="E1059"/>
  <c r="I1059" s="1"/>
  <c r="H1059"/>
  <c r="E1060"/>
  <c r="I1060" s="1"/>
  <c r="H1060"/>
  <c r="E1061"/>
  <c r="I1061" s="1"/>
  <c r="H1061"/>
  <c r="E1062"/>
  <c r="I1062" s="1"/>
  <c r="H1062"/>
  <c r="E1063"/>
  <c r="H1063"/>
  <c r="I1063"/>
  <c r="E1064"/>
  <c r="H1064"/>
  <c r="I1064"/>
  <c r="E1065"/>
  <c r="I1065" s="1"/>
  <c r="H1065"/>
  <c r="E1066"/>
  <c r="I1066" s="1"/>
  <c r="H1066"/>
  <c r="E1067"/>
  <c r="I1067" s="1"/>
  <c r="H1067"/>
  <c r="E1068"/>
  <c r="I1068" s="1"/>
  <c r="H1068"/>
  <c r="E1069"/>
  <c r="I1069" s="1"/>
  <c r="H1069"/>
  <c r="E1070"/>
  <c r="I1070" s="1"/>
  <c r="H1070"/>
  <c r="E1071"/>
  <c r="E1072"/>
  <c r="I1072" s="1"/>
  <c r="H1072"/>
  <c r="E1073"/>
  <c r="H1073"/>
  <c r="I1073"/>
  <c r="E1074"/>
  <c r="I1074" s="1"/>
  <c r="H1074"/>
  <c r="E1075"/>
  <c r="I1075" s="1"/>
  <c r="H1075"/>
  <c r="E1076"/>
  <c r="I1076" s="1"/>
  <c r="H1076"/>
  <c r="E1077"/>
  <c r="I1077" s="1"/>
  <c r="H1077"/>
  <c r="E1078"/>
  <c r="H1078"/>
  <c r="I1078"/>
  <c r="E1079"/>
  <c r="I1079" s="1"/>
  <c r="H1079"/>
  <c r="E1080"/>
  <c r="I1080" s="1"/>
  <c r="H1080"/>
  <c r="E1081"/>
  <c r="H1081"/>
  <c r="I1081"/>
  <c r="E1082"/>
  <c r="I1082" s="1"/>
  <c r="H1082"/>
  <c r="E1083"/>
  <c r="I1083" s="1"/>
  <c r="H1083"/>
  <c r="E1084"/>
  <c r="I1084" s="1"/>
  <c r="H1084"/>
  <c r="E1085"/>
  <c r="I1085" s="1"/>
  <c r="H1085"/>
  <c r="E1086"/>
  <c r="H1086"/>
  <c r="I1086"/>
  <c r="E1087"/>
  <c r="I1087" s="1"/>
  <c r="H1087"/>
  <c r="E1088"/>
  <c r="I1088" s="1"/>
  <c r="H1088"/>
  <c r="E1089"/>
  <c r="H1089"/>
  <c r="I1089"/>
  <c r="E1090"/>
  <c r="I1090" s="1"/>
  <c r="H1090"/>
  <c r="E1091"/>
  <c r="I1091" s="1"/>
  <c r="H1091"/>
  <c r="E1092"/>
  <c r="I1092" s="1"/>
  <c r="H1092"/>
  <c r="E1093"/>
  <c r="I1093" s="1"/>
  <c r="H1093"/>
  <c r="E1094"/>
  <c r="H1094"/>
  <c r="I1094"/>
  <c r="E1095"/>
  <c r="I1095" s="1"/>
  <c r="H1095"/>
  <c r="E1096"/>
  <c r="I1096" s="1"/>
  <c r="H1096"/>
  <c r="E1097"/>
  <c r="H1097"/>
  <c r="I1097"/>
  <c r="E1098"/>
  <c r="I1098" s="1"/>
  <c r="H1098"/>
  <c r="E1099"/>
  <c r="I1099" s="1"/>
  <c r="H1099"/>
  <c r="E1100"/>
  <c r="I1100" s="1"/>
  <c r="H1100"/>
  <c r="E1101"/>
  <c r="I1101" s="1"/>
  <c r="H1101"/>
  <c r="E1102"/>
  <c r="H1102"/>
  <c r="I1102"/>
  <c r="E1103"/>
  <c r="I1103" s="1"/>
  <c r="H1103"/>
  <c r="E1104"/>
  <c r="I1104" s="1"/>
  <c r="H1104"/>
  <c r="E1105"/>
  <c r="H1105"/>
  <c r="I1105"/>
  <c r="E1106"/>
  <c r="I1106" s="1"/>
  <c r="H1106"/>
  <c r="E1107"/>
  <c r="I1107" s="1"/>
  <c r="H1107"/>
  <c r="E1108"/>
  <c r="I1108" s="1"/>
  <c r="H1108"/>
  <c r="E1109"/>
  <c r="I1109" s="1"/>
  <c r="H1109"/>
  <c r="E1110"/>
  <c r="H1110"/>
  <c r="I1110"/>
  <c r="E1111"/>
  <c r="I1111" s="1"/>
  <c r="H1111"/>
  <c r="E1112"/>
  <c r="I1112" s="1"/>
  <c r="H1112"/>
  <c r="E1113"/>
  <c r="H1113"/>
  <c r="I1113"/>
  <c r="E1114"/>
  <c r="I1114" s="1"/>
  <c r="H1114"/>
  <c r="E1115"/>
  <c r="E1116"/>
  <c r="I1116" s="1"/>
  <c r="H1116"/>
  <c r="E1117"/>
  <c r="I1117" s="1"/>
  <c r="H1117"/>
  <c r="E1118"/>
  <c r="I1118" s="1"/>
  <c r="H1118"/>
  <c r="E1119"/>
  <c r="I1119" s="1"/>
  <c r="H1119"/>
  <c r="E1120"/>
  <c r="H1120"/>
  <c r="I1120"/>
  <c r="E1121"/>
  <c r="I1121" s="1"/>
  <c r="H1121"/>
  <c r="E1122"/>
  <c r="I1122" s="1"/>
  <c r="H1122"/>
  <c r="E1123"/>
  <c r="H1123"/>
  <c r="I1123"/>
  <c r="E1124"/>
  <c r="I1124" s="1"/>
  <c r="H1124"/>
  <c r="E1125"/>
  <c r="I1125" s="1"/>
  <c r="H1125"/>
  <c r="E1126"/>
  <c r="I1126" s="1"/>
  <c r="H1126"/>
  <c r="E1127"/>
  <c r="I1127" s="1"/>
  <c r="H1127"/>
  <c r="E1128"/>
  <c r="H1128"/>
  <c r="I1128"/>
  <c r="E1129"/>
  <c r="I1129" s="1"/>
  <c r="H1129"/>
  <c r="E1130"/>
  <c r="I1130" s="1"/>
  <c r="H1130"/>
  <c r="E1131"/>
  <c r="H1131"/>
  <c r="I1131"/>
  <c r="E1132"/>
  <c r="I1132" s="1"/>
  <c r="H1132"/>
  <c r="E1133"/>
  <c r="I1133" s="1"/>
  <c r="H1133"/>
  <c r="E1134"/>
  <c r="I1134" s="1"/>
  <c r="H1134"/>
  <c r="E1135"/>
  <c r="I1135" s="1"/>
  <c r="H1135"/>
  <c r="E1136"/>
  <c r="H1136"/>
  <c r="I1136"/>
  <c r="E1137"/>
  <c r="I1137" s="1"/>
  <c r="H1137"/>
  <c r="E1138"/>
  <c r="I1138" s="1"/>
  <c r="H1138"/>
  <c r="E1139"/>
  <c r="H1139"/>
  <c r="I1139"/>
  <c r="E1140"/>
  <c r="I1140" s="1"/>
  <c r="H1140"/>
  <c r="E1141"/>
  <c r="I1141" s="1"/>
  <c r="H1141"/>
  <c r="E1142"/>
  <c r="I1142" s="1"/>
  <c r="H1142"/>
  <c r="E1143"/>
  <c r="I1143" s="1"/>
  <c r="H1143"/>
  <c r="E1144"/>
  <c r="H1144"/>
  <c r="I1144"/>
  <c r="E1145"/>
  <c r="I1145" s="1"/>
  <c r="H1145"/>
  <c r="E1146"/>
  <c r="I1146" s="1"/>
  <c r="H1146"/>
  <c r="E1147"/>
  <c r="H1147"/>
  <c r="I1147"/>
  <c r="E1148"/>
  <c r="I1148" s="1"/>
  <c r="H1148"/>
  <c r="E1149"/>
  <c r="I1149" s="1"/>
  <c r="H1149"/>
  <c r="E1150"/>
  <c r="I1150" s="1"/>
  <c r="H1150"/>
  <c r="E1151"/>
  <c r="I1151" s="1"/>
  <c r="H1151"/>
  <c r="E1152"/>
  <c r="H1152"/>
  <c r="I1152"/>
  <c r="E1153"/>
  <c r="I1153" s="1"/>
  <c r="H1153"/>
  <c r="E1154"/>
  <c r="I1154" s="1"/>
  <c r="H1154"/>
  <c r="E1155"/>
  <c r="H1155"/>
  <c r="I1155"/>
  <c r="E1156"/>
  <c r="I1156" s="1"/>
  <c r="H1156"/>
  <c r="E1157"/>
  <c r="I1157" s="1"/>
  <c r="H1157"/>
  <c r="E1158"/>
  <c r="I1158" s="1"/>
  <c r="H1158"/>
  <c r="E1159"/>
  <c r="I1159" s="1"/>
  <c r="H1159"/>
  <c r="E1160"/>
  <c r="F1160"/>
  <c r="E1161"/>
  <c r="I1161" s="1"/>
  <c r="H1161"/>
  <c r="E1162"/>
  <c r="H1162"/>
  <c r="I1162"/>
  <c r="E1163"/>
  <c r="H1163"/>
  <c r="I1163"/>
  <c r="E1164"/>
  <c r="I1164" s="1"/>
  <c r="H1164"/>
  <c r="E1165"/>
  <c r="I1165" s="1"/>
  <c r="H1165"/>
  <c r="E1166"/>
  <c r="I1166" s="1"/>
  <c r="H1166"/>
  <c r="E1167"/>
  <c r="I1167" s="1"/>
  <c r="H1167"/>
  <c r="E1168"/>
  <c r="I1168" s="1"/>
  <c r="H1168"/>
  <c r="E1169"/>
  <c r="I1169" s="1"/>
  <c r="H1169"/>
  <c r="E1170"/>
  <c r="H1170"/>
  <c r="I1170"/>
  <c r="E1171"/>
  <c r="H1171"/>
  <c r="I1171"/>
  <c r="E1172"/>
  <c r="I1172" s="1"/>
  <c r="H1172"/>
  <c r="E1173"/>
  <c r="I1173" s="1"/>
  <c r="H1173"/>
  <c r="E1174"/>
  <c r="I1174" s="1"/>
  <c r="H1174"/>
  <c r="E1175"/>
  <c r="I1175" s="1"/>
  <c r="H1175"/>
  <c r="E1176"/>
  <c r="I1176" s="1"/>
  <c r="H1176"/>
  <c r="E1177"/>
  <c r="I1177" s="1"/>
  <c r="H1177"/>
  <c r="E1178"/>
  <c r="H1178"/>
  <c r="I1178"/>
  <c r="E1179"/>
  <c r="H1179"/>
  <c r="I1179"/>
  <c r="E1180"/>
  <c r="I1180" s="1"/>
  <c r="H1180"/>
  <c r="E1181"/>
  <c r="I1181" s="1"/>
  <c r="H1181"/>
  <c r="E1182"/>
  <c r="I1182" s="1"/>
  <c r="H1182"/>
  <c r="E1183"/>
  <c r="I1183" s="1"/>
  <c r="H1183"/>
  <c r="E1184"/>
  <c r="I1184" s="1"/>
  <c r="H1184"/>
  <c r="E1185"/>
  <c r="I1185" s="1"/>
  <c r="H1185"/>
  <c r="E1186"/>
  <c r="H1186"/>
  <c r="I1186"/>
  <c r="E1187"/>
  <c r="I1187" s="1"/>
  <c r="H1187"/>
  <c r="E1188"/>
  <c r="I1188" s="1"/>
  <c r="H1188"/>
  <c r="E1189"/>
  <c r="H1189"/>
  <c r="I1189"/>
  <c r="E1190"/>
  <c r="I1190" s="1"/>
  <c r="H1190"/>
  <c r="E1191"/>
  <c r="I1191" s="1"/>
  <c r="H1191"/>
  <c r="E1192"/>
  <c r="H1192"/>
  <c r="I1192"/>
  <c r="E1193"/>
  <c r="I1193" s="1"/>
  <c r="H1193"/>
  <c r="E1194"/>
  <c r="I1194" s="1"/>
  <c r="H1194"/>
  <c r="E1195"/>
  <c r="I1195" s="1"/>
  <c r="H1195"/>
  <c r="E1196"/>
  <c r="I1196" s="1"/>
  <c r="H1196"/>
  <c r="E1197"/>
  <c r="I1197" s="1"/>
  <c r="H1197"/>
  <c r="E1198"/>
  <c r="I1198" s="1"/>
  <c r="H1198"/>
  <c r="E1199"/>
  <c r="H1199"/>
  <c r="I1199"/>
  <c r="E1200"/>
  <c r="H1200"/>
  <c r="I1200"/>
  <c r="E1201"/>
  <c r="I1201" s="1"/>
  <c r="H1201"/>
  <c r="E1202"/>
  <c r="H1202"/>
  <c r="I1202"/>
  <c r="H1206"/>
  <c r="I1207"/>
  <c r="J1207"/>
  <c r="I1208"/>
  <c r="J1208"/>
  <c r="H1212"/>
  <c r="K1228"/>
  <c r="K1229" s="1"/>
  <c r="K1231"/>
  <c r="K1232" s="1"/>
  <c r="K1234"/>
  <c r="K1235" s="1"/>
  <c r="L1235" s="1"/>
  <c r="K1237"/>
  <c r="K1238"/>
  <c r="M1248"/>
  <c r="E16" l="1"/>
  <c r="I16" s="1"/>
  <c r="E14"/>
  <c r="I14" s="1"/>
  <c r="E11"/>
  <c r="F14"/>
  <c r="J14" s="1"/>
  <c r="F11"/>
  <c r="F13"/>
  <c r="J13" s="1"/>
  <c r="F9"/>
  <c r="J9" s="1"/>
  <c r="F10"/>
  <c r="F12"/>
  <c r="E17"/>
  <c r="I17" s="1"/>
  <c r="E15"/>
  <c r="I15" s="1"/>
  <c r="E12"/>
  <c r="E10"/>
  <c r="E9"/>
  <c r="I9" s="1"/>
  <c r="D23" i="60"/>
  <c r="G22"/>
  <c r="J22" s="1"/>
  <c r="L22" s="1"/>
  <c r="H18" i="47"/>
  <c r="J1206"/>
  <c r="H1160"/>
  <c r="I1160"/>
  <c r="H1115"/>
  <c r="I1115"/>
  <c r="H1071"/>
  <c r="I1071"/>
  <c r="H1027"/>
  <c r="I1027"/>
  <c r="H983"/>
  <c r="I983"/>
  <c r="I733"/>
  <c r="H527"/>
  <c r="H270"/>
  <c r="J22"/>
  <c r="I18"/>
  <c r="F16" i="53"/>
  <c r="I1206" i="47"/>
  <c r="H733"/>
  <c r="I527"/>
  <c r="J270"/>
  <c r="H22"/>
  <c r="H1203" s="1"/>
  <c r="F17"/>
  <c r="J17" s="1"/>
  <c r="F16"/>
  <c r="J16" s="1"/>
  <c r="F15"/>
  <c r="J15" s="1"/>
  <c r="D12" i="55"/>
  <c r="G11"/>
  <c r="J11" s="1"/>
  <c r="L11" s="1"/>
  <c r="F11" i="52"/>
  <c r="H11" s="1"/>
  <c r="J11" s="1"/>
  <c r="I1203" i="47"/>
  <c r="I19"/>
  <c r="I20" s="1"/>
  <c r="J1203"/>
  <c r="J18" l="1"/>
  <c r="J19" s="1"/>
  <c r="J20" s="1"/>
  <c r="D24" i="60"/>
  <c r="G23"/>
  <c r="J23" s="1"/>
  <c r="L23" s="1"/>
  <c r="H19" i="47"/>
  <c r="H20" s="1"/>
  <c r="D13" i="55"/>
  <c r="G12"/>
  <c r="J12" s="1"/>
  <c r="L12" s="1"/>
  <c r="J1204" i="47"/>
  <c r="J1205" s="1"/>
  <c r="J1209" s="1"/>
  <c r="H1204"/>
  <c r="H1205" s="1"/>
  <c r="I1204"/>
  <c r="I1205" s="1"/>
  <c r="I1209" s="1"/>
  <c r="H1209" l="1"/>
  <c r="D25" i="60"/>
  <c r="G25" s="1"/>
  <c r="J25" s="1"/>
  <c r="L25" s="1"/>
  <c r="G28" s="1"/>
  <c r="G24"/>
  <c r="J24" s="1"/>
  <c r="L24" s="1"/>
  <c r="D14" i="55"/>
  <c r="G13"/>
  <c r="J13" s="1"/>
  <c r="L13" s="1"/>
  <c r="J1210" i="47"/>
  <c r="J1211" s="1"/>
  <c r="H1210"/>
  <c r="H1211" s="1"/>
  <c r="I1210"/>
  <c r="I1211" s="1"/>
  <c r="F7" i="43"/>
  <c r="H7" s="1"/>
  <c r="J7" s="1"/>
  <c r="F8"/>
  <c r="H8" s="1"/>
  <c r="J8" s="1"/>
  <c r="F9"/>
  <c r="H9" s="1"/>
  <c r="J9" s="1"/>
  <c r="F19" s="1"/>
  <c r="F10"/>
  <c r="H10" s="1"/>
  <c r="F11"/>
  <c r="H11" s="1"/>
  <c r="F12"/>
  <c r="H12" s="1"/>
  <c r="J12" s="1"/>
  <c r="F13"/>
  <c r="H13" s="1"/>
  <c r="J13" s="1"/>
  <c r="D15" i="55" l="1"/>
  <c r="G14"/>
  <c r="J14" s="1"/>
  <c r="L14" s="1"/>
  <c r="F18" i="43"/>
  <c r="J11"/>
  <c r="F20"/>
  <c r="I1212" i="47"/>
  <c r="J1212"/>
  <c r="J10" i="43"/>
  <c r="D16" i="55" l="1"/>
  <c r="G15"/>
  <c r="J15" s="1"/>
  <c r="L15" s="1"/>
  <c r="F17" i="43"/>
  <c r="I6"/>
  <c r="F6"/>
  <c r="H6" s="1"/>
  <c r="D17" i="55" l="1"/>
  <c r="G16"/>
  <c r="J16" s="1"/>
  <c r="L16" s="1"/>
  <c r="J6" i="43"/>
  <c r="D18" i="55" l="1"/>
  <c r="G17"/>
  <c r="J17" s="1"/>
  <c r="L17" s="1"/>
  <c r="F16" i="43"/>
  <c r="D19" i="55" l="1"/>
  <c r="G18"/>
  <c r="J18" s="1"/>
  <c r="L18" s="1"/>
  <c r="D20" l="1"/>
  <c r="G19"/>
  <c r="J19" s="1"/>
  <c r="L19" s="1"/>
  <c r="D21" l="1"/>
  <c r="G20"/>
  <c r="J20" s="1"/>
  <c r="L20" s="1"/>
  <c r="D22" l="1"/>
  <c r="G21"/>
  <c r="J21" s="1"/>
  <c r="L21" s="1"/>
  <c r="D23" l="1"/>
  <c r="G22"/>
  <c r="J22" s="1"/>
  <c r="L22" s="1"/>
  <c r="D24" l="1"/>
  <c r="G23"/>
  <c r="J23" s="1"/>
  <c r="L23" s="1"/>
  <c r="G260" i="17"/>
  <c r="G259"/>
  <c r="G258"/>
  <c r="G257"/>
  <c r="G256"/>
  <c r="H251"/>
  <c r="G250"/>
  <c r="G249"/>
  <c r="H244"/>
  <c r="G243"/>
  <c r="G242"/>
  <c r="G241"/>
  <c r="H237"/>
  <c r="G236"/>
  <c r="G235"/>
  <c r="H232"/>
  <c r="G231"/>
  <c r="G230"/>
  <c r="H227"/>
  <c r="G226"/>
  <c r="G225"/>
  <c r="G224"/>
  <c r="H219"/>
  <c r="G218"/>
  <c r="G217"/>
  <c r="H215"/>
  <c r="G214"/>
  <c r="H213"/>
  <c r="H212"/>
  <c r="A212"/>
  <c r="G211"/>
  <c r="G210"/>
  <c r="G209"/>
  <c r="G208"/>
  <c r="H203"/>
  <c r="G202"/>
  <c r="G201"/>
  <c r="G200"/>
  <c r="G199"/>
  <c r="G198"/>
  <c r="H193"/>
  <c r="G192"/>
  <c r="G191"/>
  <c r="H186"/>
  <c r="G185"/>
  <c r="G184"/>
  <c r="G183"/>
  <c r="H179"/>
  <c r="G178"/>
  <c r="G177"/>
  <c r="H174"/>
  <c r="G173"/>
  <c r="G172"/>
  <c r="H169"/>
  <c r="G168"/>
  <c r="G167"/>
  <c r="G166"/>
  <c r="H161"/>
  <c r="G160"/>
  <c r="G159"/>
  <c r="H157"/>
  <c r="G156"/>
  <c r="G155"/>
  <c r="H153"/>
  <c r="G152"/>
  <c r="H151"/>
  <c r="H150"/>
  <c r="A150"/>
  <c r="H149"/>
  <c r="A149"/>
  <c r="G148"/>
  <c r="G147"/>
  <c r="H146"/>
  <c r="G145"/>
  <c r="H141"/>
  <c r="G140"/>
  <c r="H136"/>
  <c r="G135"/>
  <c r="H131"/>
  <c r="G130"/>
  <c r="H126"/>
  <c r="G125"/>
  <c r="G124"/>
  <c r="G121"/>
  <c r="H115"/>
  <c r="H114"/>
  <c r="A114"/>
  <c r="H112"/>
  <c r="H110"/>
  <c r="H108"/>
  <c r="A108"/>
  <c r="G107"/>
  <c r="H106"/>
  <c r="A106"/>
  <c r="G105"/>
  <c r="G104"/>
  <c r="G103"/>
  <c r="G102"/>
  <c r="H97"/>
  <c r="A97"/>
  <c r="G96"/>
  <c r="H95"/>
  <c r="A95"/>
  <c r="G94"/>
  <c r="G93"/>
  <c r="H91"/>
  <c r="A91"/>
  <c r="G90"/>
  <c r="G89"/>
  <c r="G88"/>
  <c r="G87"/>
  <c r="H83"/>
  <c r="A83"/>
  <c r="G82"/>
  <c r="G81"/>
  <c r="G80"/>
  <c r="G79"/>
  <c r="G78"/>
  <c r="H73"/>
  <c r="A73"/>
  <c r="G72"/>
  <c r="G71"/>
  <c r="H68"/>
  <c r="A68"/>
  <c r="G67"/>
  <c r="G66"/>
  <c r="H63"/>
  <c r="A63"/>
  <c r="H62"/>
  <c r="A62"/>
  <c r="G61"/>
  <c r="G60"/>
  <c r="G59"/>
  <c r="G58"/>
  <c r="G57"/>
  <c r="G56"/>
  <c r="H49"/>
  <c r="A49"/>
  <c r="G48"/>
  <c r="G47"/>
  <c r="H45"/>
  <c r="A45"/>
  <c r="G44"/>
  <c r="G43"/>
  <c r="A41"/>
  <c r="G40"/>
  <c r="G39"/>
  <c r="G38"/>
  <c r="G37"/>
  <c r="G36"/>
  <c r="G35"/>
  <c r="G34"/>
  <c r="G33"/>
  <c r="H31"/>
  <c r="A31"/>
  <c r="G30"/>
  <c r="G29"/>
  <c r="G28"/>
  <c r="G27"/>
  <c r="G26"/>
  <c r="H25"/>
  <c r="A25"/>
  <c r="G24"/>
  <c r="A23"/>
  <c r="G22"/>
  <c r="G21"/>
  <c r="G20"/>
  <c r="H19"/>
  <c r="A19"/>
  <c r="G18"/>
  <c r="G17"/>
  <c r="G16"/>
  <c r="H15"/>
  <c r="A15"/>
  <c r="G14"/>
  <c r="G13"/>
  <c r="G12"/>
  <c r="H11"/>
  <c r="A11"/>
  <c r="G10"/>
  <c r="G9"/>
  <c r="G8"/>
  <c r="H7"/>
  <c r="A7"/>
  <c r="H6"/>
  <c r="A6"/>
  <c r="H41"/>
  <c r="H23"/>
  <c r="D25" i="55" l="1"/>
  <c r="G25" s="1"/>
  <c r="J25" s="1"/>
  <c r="L25" s="1"/>
  <c r="G24"/>
  <c r="J24" s="1"/>
  <c r="L24" s="1"/>
  <c r="G109" i="17"/>
  <c r="G117"/>
  <c r="G28" i="55" l="1"/>
  <c r="H122" i="17"/>
  <c r="A70" i="27"/>
  <c r="A62"/>
  <c r="A54"/>
  <c r="A46"/>
  <c r="A38"/>
  <c r="B9"/>
  <c r="B8"/>
  <c r="B7"/>
  <c r="B6"/>
  <c r="B5"/>
  <c r="D187"/>
  <c r="D196" l="1"/>
  <c r="Q197" s="1"/>
  <c r="R188"/>
  <c r="Q189"/>
  <c r="Q188"/>
  <c r="D192"/>
  <c r="Q194" s="1"/>
  <c r="R189"/>
  <c r="Q198" l="1"/>
  <c r="R198"/>
  <c r="R197"/>
  <c r="D189"/>
  <c r="R194"/>
  <c r="Q193"/>
  <c r="R193"/>
  <c r="D198" l="1"/>
  <c r="D194"/>
  <c r="A110" i="17" l="1"/>
  <c r="B184" i="27"/>
  <c r="B183"/>
  <c r="B182"/>
  <c r="B181"/>
  <c r="B180"/>
  <c r="B176"/>
  <c r="B175"/>
  <c r="B174"/>
  <c r="B173"/>
  <c r="B172"/>
  <c r="B168"/>
  <c r="B167"/>
  <c r="B166"/>
  <c r="B165"/>
  <c r="B164"/>
  <c r="B160"/>
  <c r="B159"/>
  <c r="B158"/>
  <c r="B157"/>
  <c r="B156"/>
  <c r="B144"/>
  <c r="B143"/>
  <c r="B142"/>
  <c r="B141"/>
  <c r="B140"/>
  <c r="B136"/>
  <c r="B135"/>
  <c r="B134"/>
  <c r="B133"/>
  <c r="B132"/>
  <c r="B128"/>
  <c r="B127"/>
  <c r="B126"/>
  <c r="B125"/>
  <c r="B124"/>
  <c r="B120"/>
  <c r="B119"/>
  <c r="B118"/>
  <c r="B117"/>
  <c r="B116"/>
  <c r="B105"/>
  <c r="B104"/>
  <c r="B103"/>
  <c r="B102"/>
  <c r="B101"/>
  <c r="B97"/>
  <c r="B96"/>
  <c r="B95"/>
  <c r="B94"/>
  <c r="B93"/>
  <c r="B89"/>
  <c r="B88"/>
  <c r="B87"/>
  <c r="B86"/>
  <c r="B85"/>
  <c r="B81"/>
  <c r="B80"/>
  <c r="B79"/>
  <c r="B78"/>
  <c r="B77"/>
  <c r="B73"/>
  <c r="B72"/>
  <c r="B71"/>
  <c r="B70"/>
  <c r="B69"/>
  <c r="B65"/>
  <c r="B64"/>
  <c r="B63"/>
  <c r="B62"/>
  <c r="B61"/>
  <c r="B57"/>
  <c r="B56"/>
  <c r="B55"/>
  <c r="B54"/>
  <c r="B53"/>
  <c r="B49"/>
  <c r="B48"/>
  <c r="B47"/>
  <c r="B46"/>
  <c r="B45"/>
  <c r="B41"/>
  <c r="B40"/>
  <c r="B39"/>
  <c r="B38"/>
  <c r="B37"/>
  <c r="B33"/>
  <c r="B32"/>
  <c r="B31"/>
  <c r="B30"/>
  <c r="B29"/>
  <c r="B25"/>
  <c r="B24"/>
  <c r="B23"/>
  <c r="B22"/>
  <c r="B21"/>
  <c r="B17"/>
  <c r="B16"/>
  <c r="B15"/>
  <c r="B14"/>
  <c r="B13"/>
  <c r="A115" i="17" l="1"/>
  <c r="A112"/>
  <c r="D122" i="27"/>
  <c r="B16" i="15"/>
  <c r="H87" i="4" s="1"/>
  <c r="B17" i="15"/>
  <c r="H85" i="4" s="1"/>
  <c r="B15" i="15"/>
  <c r="H83" i="4" s="1"/>
  <c r="B14" i="15"/>
  <c r="H82" i="4" s="1"/>
  <c r="B13" i="15"/>
  <c r="H80" i="4" s="1"/>
  <c r="B9" i="15"/>
  <c r="J79" i="4" s="1"/>
  <c r="B10" i="15"/>
  <c r="H79" i="4" s="1"/>
  <c r="E78"/>
  <c r="F78" s="1"/>
  <c r="F79" s="1"/>
  <c r="E74"/>
  <c r="F74" s="1"/>
  <c r="H66"/>
  <c r="E59"/>
  <c r="F59" s="1"/>
  <c r="F60" s="1"/>
  <c r="E55"/>
  <c r="F55" s="1"/>
  <c r="E54"/>
  <c r="F54" s="1"/>
  <c r="E53"/>
  <c r="F53" s="1"/>
  <c r="B12" i="15"/>
  <c r="H38" i="4" s="1"/>
  <c r="E36"/>
  <c r="F36" s="1"/>
  <c r="E35"/>
  <c r="F35" s="1"/>
  <c r="E32"/>
  <c r="F32" s="1"/>
  <c r="F33" s="1"/>
  <c r="E29"/>
  <c r="F29" s="1"/>
  <c r="F30" s="1"/>
  <c r="K30" s="1"/>
  <c r="E14"/>
  <c r="F14" s="1"/>
  <c r="F15" s="1"/>
  <c r="E10"/>
  <c r="F10" s="1"/>
  <c r="O49"/>
  <c r="A9"/>
  <c r="A8" i="3" s="1"/>
  <c r="O5" i="4"/>
  <c r="A3"/>
  <c r="A3" i="3"/>
  <c r="A2"/>
  <c r="A2" i="4"/>
  <c r="A3" i="17"/>
  <c r="A2"/>
  <c r="O6" i="4"/>
  <c r="A52"/>
  <c r="A11" i="3"/>
  <c r="A28" i="4"/>
  <c r="A9" i="3" s="1"/>
  <c r="A73" i="4"/>
  <c r="A12" i="3" s="1"/>
  <c r="O26" i="4"/>
  <c r="D9" i="3" s="1"/>
  <c r="O7" i="4"/>
  <c r="D8" i="3" s="1"/>
  <c r="O50" i="4"/>
  <c r="D11" i="3" s="1"/>
  <c r="O71" i="4"/>
  <c r="D12" i="3" s="1"/>
  <c r="A122" i="17" l="1"/>
  <c r="F57" i="4"/>
  <c r="K57" s="1"/>
  <c r="E56"/>
  <c r="F56" s="1"/>
  <c r="H33"/>
  <c r="H23"/>
  <c r="R126" i="27"/>
  <c r="Q125"/>
  <c r="D125" s="1"/>
  <c r="R124"/>
  <c r="D138"/>
  <c r="Q124"/>
  <c r="Q123"/>
  <c r="R127"/>
  <c r="Q128"/>
  <c r="D124"/>
  <c r="R128"/>
  <c r="D128" s="1"/>
  <c r="R125"/>
  <c r="Q126"/>
  <c r="D126" s="1"/>
  <c r="R123"/>
  <c r="Q127"/>
  <c r="D127" s="1"/>
  <c r="D35"/>
  <c r="D51" s="1"/>
  <c r="D3"/>
  <c r="D149"/>
  <c r="D146"/>
  <c r="E37" i="4"/>
  <c r="F37" s="1"/>
  <c r="F38"/>
  <c r="K38" s="1"/>
  <c r="H16"/>
  <c r="H19"/>
  <c r="H15"/>
  <c r="H44"/>
  <c r="J60"/>
  <c r="H41"/>
  <c r="H63"/>
  <c r="J15"/>
  <c r="H18"/>
  <c r="H21"/>
  <c r="J33"/>
  <c r="H39"/>
  <c r="H42"/>
  <c r="H61"/>
  <c r="H64"/>
  <c r="H46"/>
  <c r="H60"/>
  <c r="H68"/>
  <c r="K79"/>
  <c r="E11"/>
  <c r="F11" s="1"/>
  <c r="F12"/>
  <c r="K12" s="1"/>
  <c r="E75"/>
  <c r="F75" s="1"/>
  <c r="F76"/>
  <c r="K76" s="1"/>
  <c r="A126" i="17" l="1"/>
  <c r="Q39" i="27"/>
  <c r="R39"/>
  <c r="R36"/>
  <c r="Q36"/>
  <c r="R38"/>
  <c r="Q41"/>
  <c r="Q37"/>
  <c r="D43"/>
  <c r="Q49" s="1"/>
  <c r="Q40"/>
  <c r="R41"/>
  <c r="K33" i="4"/>
  <c r="K39" s="1"/>
  <c r="K40" s="1"/>
  <c r="K41" s="1"/>
  <c r="K42" s="1"/>
  <c r="K43" s="1"/>
  <c r="K44" s="1"/>
  <c r="K45" s="1"/>
  <c r="K60"/>
  <c r="K61" s="1"/>
  <c r="K62" s="1"/>
  <c r="R37" i="27"/>
  <c r="Q38"/>
  <c r="R40"/>
  <c r="Q147"/>
  <c r="D151" s="1"/>
  <c r="R147"/>
  <c r="D11"/>
  <c r="D83"/>
  <c r="D75"/>
  <c r="R141"/>
  <c r="Q142"/>
  <c r="Q143"/>
  <c r="D140"/>
  <c r="R139"/>
  <c r="R140"/>
  <c r="R142"/>
  <c r="Q139"/>
  <c r="Q144"/>
  <c r="D144"/>
  <c r="D143"/>
  <c r="R143"/>
  <c r="Q141"/>
  <c r="D142"/>
  <c r="Q140"/>
  <c r="R144"/>
  <c r="D141"/>
  <c r="R148"/>
  <c r="D148"/>
  <c r="Q148"/>
  <c r="R151"/>
  <c r="Q150"/>
  <c r="Q151"/>
  <c r="R150"/>
  <c r="D27"/>
  <c r="D19"/>
  <c r="Q6"/>
  <c r="R9"/>
  <c r="Q4"/>
  <c r="R6"/>
  <c r="Q5"/>
  <c r="R8"/>
  <c r="R5"/>
  <c r="R7"/>
  <c r="R4"/>
  <c r="Q9"/>
  <c r="Q7"/>
  <c r="Q8"/>
  <c r="K15" i="4"/>
  <c r="K16" s="1"/>
  <c r="K17" s="1"/>
  <c r="K80"/>
  <c r="K81" s="1"/>
  <c r="R46" i="27" l="1"/>
  <c r="Q45"/>
  <c r="Q48"/>
  <c r="R48"/>
  <c r="R45"/>
  <c r="Q46"/>
  <c r="D40"/>
  <c r="R49"/>
  <c r="R44"/>
  <c r="Q47"/>
  <c r="D38"/>
  <c r="D37"/>
  <c r="D41"/>
  <c r="D39"/>
  <c r="Q44"/>
  <c r="R47"/>
  <c r="A131" i="17"/>
  <c r="R87" i="27"/>
  <c r="R89"/>
  <c r="Q84"/>
  <c r="Q86"/>
  <c r="Q88"/>
  <c r="R85"/>
  <c r="R86"/>
  <c r="R88"/>
  <c r="Q85"/>
  <c r="Q87"/>
  <c r="Q89"/>
  <c r="R84"/>
  <c r="R78"/>
  <c r="R77"/>
  <c r="Q81"/>
  <c r="Q76"/>
  <c r="R79"/>
  <c r="Q79"/>
  <c r="Q78"/>
  <c r="Q80"/>
  <c r="Q77"/>
  <c r="R81"/>
  <c r="R76"/>
  <c r="R80"/>
  <c r="D46"/>
  <c r="D48"/>
  <c r="D9"/>
  <c r="D49"/>
  <c r="D47"/>
  <c r="D5"/>
  <c r="D8"/>
  <c r="D6"/>
  <c r="D7"/>
  <c r="D45"/>
  <c r="D59"/>
  <c r="R54"/>
  <c r="R55"/>
  <c r="R56"/>
  <c r="R57"/>
  <c r="Q53"/>
  <c r="Q52"/>
  <c r="Q54"/>
  <c r="Q55"/>
  <c r="Q56"/>
  <c r="Q57"/>
  <c r="R53"/>
  <c r="R52"/>
  <c r="Q25"/>
  <c r="Q22"/>
  <c r="Q23"/>
  <c r="Q24"/>
  <c r="R21"/>
  <c r="R20"/>
  <c r="R25"/>
  <c r="R22"/>
  <c r="R23"/>
  <c r="R24"/>
  <c r="Q21"/>
  <c r="Q20"/>
  <c r="Q31"/>
  <c r="Q32"/>
  <c r="Q33"/>
  <c r="R29"/>
  <c r="R28"/>
  <c r="R30"/>
  <c r="Q30"/>
  <c r="R31"/>
  <c r="R32"/>
  <c r="R33"/>
  <c r="Q29"/>
  <c r="Q28"/>
  <c r="D30"/>
  <c r="D32"/>
  <c r="D29"/>
  <c r="D33"/>
  <c r="D31"/>
  <c r="R14"/>
  <c r="R15"/>
  <c r="R16"/>
  <c r="R17"/>
  <c r="Q13"/>
  <c r="Q12"/>
  <c r="Q14"/>
  <c r="Q15"/>
  <c r="Q16"/>
  <c r="Q17"/>
  <c r="R13"/>
  <c r="R12"/>
  <c r="K63" i="4"/>
  <c r="K18"/>
  <c r="K19" s="1"/>
  <c r="K82"/>
  <c r="K83" s="1"/>
  <c r="K84" s="1"/>
  <c r="K46"/>
  <c r="K47" s="1"/>
  <c r="E9" i="3" s="1"/>
  <c r="F9" s="1"/>
  <c r="D81" i="27" l="1"/>
  <c r="A136" i="17"/>
  <c r="D89" i="27"/>
  <c r="D77"/>
  <c r="D79"/>
  <c r="D88"/>
  <c r="D80"/>
  <c r="D85"/>
  <c r="D86"/>
  <c r="D78"/>
  <c r="D87"/>
  <c r="D15"/>
  <c r="D57"/>
  <c r="D16"/>
  <c r="D13"/>
  <c r="D21"/>
  <c r="D22"/>
  <c r="D24"/>
  <c r="D53"/>
  <c r="D54"/>
  <c r="D56"/>
  <c r="D55"/>
  <c r="D14"/>
  <c r="D23"/>
  <c r="D17"/>
  <c r="D25"/>
  <c r="D67"/>
  <c r="D91" s="1"/>
  <c r="Q62"/>
  <c r="Q63"/>
  <c r="Q64"/>
  <c r="Q65"/>
  <c r="Q61"/>
  <c r="Q60"/>
  <c r="R65"/>
  <c r="R62"/>
  <c r="R63"/>
  <c r="R64"/>
  <c r="R61"/>
  <c r="R60"/>
  <c r="K64" i="4"/>
  <c r="K65" s="1"/>
  <c r="K85"/>
  <c r="K86" s="1"/>
  <c r="K20"/>
  <c r="A141" i="17" l="1"/>
  <c r="D114" i="27"/>
  <c r="D99"/>
  <c r="Q95"/>
  <c r="R92"/>
  <c r="Q97"/>
  <c r="Q96"/>
  <c r="Q94"/>
  <c r="Q93"/>
  <c r="R96"/>
  <c r="R97"/>
  <c r="R94"/>
  <c r="R93"/>
  <c r="R95"/>
  <c r="Q92"/>
  <c r="D62"/>
  <c r="D65"/>
  <c r="D63"/>
  <c r="R70"/>
  <c r="R71"/>
  <c r="R72"/>
  <c r="R73"/>
  <c r="Q69"/>
  <c r="Q68"/>
  <c r="Q70"/>
  <c r="Q71"/>
  <c r="Q72"/>
  <c r="Q73"/>
  <c r="R69"/>
  <c r="R68"/>
  <c r="D61"/>
  <c r="D64"/>
  <c r="K66" i="4"/>
  <c r="K67" s="1"/>
  <c r="K68" s="1"/>
  <c r="K69" s="1"/>
  <c r="E11" i="3" s="1"/>
  <c r="F11" s="1"/>
  <c r="K87" i="4"/>
  <c r="K88" s="1"/>
  <c r="E12" i="3" s="1"/>
  <c r="F12" s="1"/>
  <c r="K21" i="4"/>
  <c r="K22" s="1"/>
  <c r="A146" i="17" l="1"/>
  <c r="D93" i="27"/>
  <c r="D96"/>
  <c r="D97"/>
  <c r="D94"/>
  <c r="D95"/>
  <c r="R103"/>
  <c r="R105"/>
  <c r="R100"/>
  <c r="Q102"/>
  <c r="Q104"/>
  <c r="R101"/>
  <c r="Q100"/>
  <c r="R102"/>
  <c r="R104"/>
  <c r="Q101"/>
  <c r="Q103"/>
  <c r="Q105"/>
  <c r="R120"/>
  <c r="Q116"/>
  <c r="D130"/>
  <c r="R117"/>
  <c r="Q120"/>
  <c r="Q115"/>
  <c r="Q118"/>
  <c r="R118"/>
  <c r="R119"/>
  <c r="R115"/>
  <c r="Q117"/>
  <c r="R116"/>
  <c r="Q119"/>
  <c r="D73"/>
  <c r="D71"/>
  <c r="D72"/>
  <c r="D70"/>
  <c r="D69"/>
  <c r="K23" i="4"/>
  <c r="K24" s="1"/>
  <c r="E8" i="3" s="1"/>
  <c r="F8" s="1"/>
  <c r="F13" s="1"/>
  <c r="A151" i="17" l="1"/>
  <c r="D107" i="27"/>
  <c r="Q109" s="1"/>
  <c r="D120"/>
  <c r="D116"/>
  <c r="D118"/>
  <c r="D105"/>
  <c r="D119"/>
  <c r="D102"/>
  <c r="D117"/>
  <c r="D154"/>
  <c r="R133"/>
  <c r="R131"/>
  <c r="R136"/>
  <c r="R135"/>
  <c r="Q135"/>
  <c r="R134"/>
  <c r="Q134"/>
  <c r="Q133"/>
  <c r="Q131"/>
  <c r="Q132"/>
  <c r="R132"/>
  <c r="Q136"/>
  <c r="D101"/>
  <c r="D103"/>
  <c r="D104"/>
  <c r="F14" i="52" l="1"/>
  <c r="F15"/>
  <c r="A153" i="17"/>
  <c r="Q108" i="27"/>
  <c r="D109" s="1"/>
  <c r="R108"/>
  <c r="R109"/>
  <c r="D136"/>
  <c r="D133"/>
  <c r="D132"/>
  <c r="D135"/>
  <c r="D134"/>
  <c r="D170"/>
  <c r="Q157"/>
  <c r="Q159"/>
  <c r="D162"/>
  <c r="R156"/>
  <c r="R158"/>
  <c r="Q160"/>
  <c r="R159"/>
  <c r="R160"/>
  <c r="R155"/>
  <c r="Q156"/>
  <c r="Q158"/>
  <c r="D158" s="1"/>
  <c r="R157"/>
  <c r="Q155"/>
  <c r="K27" i="75" l="1"/>
  <c r="K25"/>
  <c r="D160" i="27"/>
  <c r="D159"/>
  <c r="D157"/>
  <c r="D156"/>
  <c r="A157" i="17"/>
  <c r="D110" i="27"/>
  <c r="R111" s="1"/>
  <c r="R174"/>
  <c r="R175"/>
  <c r="D178"/>
  <c r="Q174"/>
  <c r="R172"/>
  <c r="Q175"/>
  <c r="Q172"/>
  <c r="Q173"/>
  <c r="R171"/>
  <c r="R173"/>
  <c r="Q176"/>
  <c r="Q171"/>
  <c r="R176"/>
  <c r="Q164"/>
  <c r="Q165"/>
  <c r="R163"/>
  <c r="Q166"/>
  <c r="R164"/>
  <c r="Q167"/>
  <c r="R167"/>
  <c r="R165"/>
  <c r="Q168"/>
  <c r="R166"/>
  <c r="Q163"/>
  <c r="D164" s="1"/>
  <c r="R168"/>
  <c r="D173" l="1"/>
  <c r="D167"/>
  <c r="D168"/>
  <c r="D172"/>
  <c r="D165"/>
  <c r="D176"/>
  <c r="D175"/>
  <c r="D166"/>
  <c r="A161" i="17"/>
  <c r="D174" i="27"/>
  <c r="Q111"/>
  <c r="R112"/>
  <c r="D112"/>
  <c r="Q112"/>
  <c r="Q179"/>
  <c r="R181"/>
  <c r="Q183"/>
  <c r="Q180"/>
  <c r="Q181"/>
  <c r="R183"/>
  <c r="R184"/>
  <c r="R182"/>
  <c r="R180"/>
  <c r="Q182"/>
  <c r="R179"/>
  <c r="Q184"/>
  <c r="D184" s="1"/>
  <c r="D180" l="1"/>
  <c r="D182"/>
  <c r="D181"/>
  <c r="A169" i="17"/>
  <c r="D183" i="27"/>
  <c r="A174" i="17" l="1"/>
  <c r="A179" l="1"/>
  <c r="A186" l="1"/>
  <c r="A193" l="1"/>
  <c r="A203" l="1"/>
  <c r="A213" l="1"/>
  <c r="A215" l="1"/>
  <c r="A219" l="1"/>
  <c r="A227" l="1"/>
  <c r="A232" l="1"/>
  <c r="A237" l="1"/>
  <c r="A244" l="1"/>
  <c r="A251" l="1"/>
  <c r="G127" l="1"/>
  <c r="G137"/>
  <c r="G132"/>
  <c r="G142"/>
  <c r="G119"/>
  <c r="G128"/>
  <c r="G138"/>
  <c r="G123"/>
  <c r="G133"/>
  <c r="G143"/>
  <c r="G144"/>
  <c r="G139"/>
  <c r="G120"/>
  <c r="G134"/>
  <c r="G129"/>
  <c r="G116"/>
  <c r="G240" l="1"/>
  <c r="G86"/>
  <c r="G182"/>
  <c r="G74"/>
  <c r="G50"/>
  <c r="G98"/>
  <c r="G194"/>
  <c r="G162"/>
  <c r="G204"/>
  <c r="G220"/>
  <c r="G252"/>
  <c r="G54"/>
  <c r="G248"/>
  <c r="G190"/>
  <c r="G113"/>
  <c r="G69"/>
  <c r="G175"/>
  <c r="G233"/>
  <c r="G46"/>
  <c r="G84"/>
  <c r="G92"/>
  <c r="G245"/>
  <c r="G187"/>
  <c r="G253"/>
  <c r="G163"/>
  <c r="G99"/>
  <c r="G221"/>
  <c r="G195"/>
  <c r="G75"/>
  <c r="G51"/>
  <c r="G205"/>
  <c r="G188"/>
  <c r="G246"/>
  <c r="G76"/>
  <c r="G52"/>
  <c r="G254"/>
  <c r="G100"/>
  <c r="G196"/>
  <c r="G164"/>
  <c r="G206"/>
  <c r="G222"/>
  <c r="G111"/>
  <c r="G118"/>
  <c r="G228"/>
  <c r="G64"/>
  <c r="G170"/>
  <c r="G180"/>
  <c r="G238"/>
  <c r="G55"/>
  <c r="G158"/>
  <c r="G216"/>
  <c r="G42"/>
  <c r="G239"/>
  <c r="G176"/>
  <c r="G65"/>
  <c r="G234"/>
  <c r="G181"/>
  <c r="G70"/>
  <c r="G171"/>
  <c r="G229"/>
  <c r="G247"/>
  <c r="G189"/>
  <c r="G154"/>
  <c r="G207"/>
  <c r="G77"/>
  <c r="G53"/>
  <c r="G165"/>
  <c r="G197"/>
  <c r="G223"/>
  <c r="G255"/>
  <c r="G101"/>
  <c r="G85"/>
  <c r="G32"/>
</calcChain>
</file>

<file path=xl/sharedStrings.xml><?xml version="1.0" encoding="utf-8"?>
<sst xmlns="http://schemas.openxmlformats.org/spreadsheetml/2006/main" count="5410" uniqueCount="1171">
  <si>
    <t>KHỐI LƯỢNG</t>
  </si>
  <si>
    <t>VL</t>
  </si>
  <si>
    <t>NC</t>
  </si>
  <si>
    <t>XM</t>
  </si>
  <si>
    <t>Tổng VL - NC - XM</t>
  </si>
  <si>
    <t>công</t>
  </si>
  <si>
    <t>ca</t>
  </si>
  <si>
    <t>ĐƠN GIÁ</t>
  </si>
  <si>
    <t>I</t>
  </si>
  <si>
    <t>TT</t>
  </si>
  <si>
    <t>T</t>
  </si>
  <si>
    <t>*</t>
  </si>
  <si>
    <t>C</t>
  </si>
  <si>
    <t>TL</t>
  </si>
  <si>
    <t>(T+C)</t>
  </si>
  <si>
    <t>G</t>
  </si>
  <si>
    <t>GTGT</t>
  </si>
  <si>
    <t>Hệ Số Trượt Giá Nhân Công</t>
  </si>
  <si>
    <t>Hệ Số Nhân Công Theo Nhóm</t>
  </si>
  <si>
    <t>Hệ Số Máy Thi Công Theo Nhóm</t>
  </si>
  <si>
    <t>Hệ Số Trượt Giá Máy Thi Công</t>
  </si>
  <si>
    <t>Chi Phí Chung (%)</t>
  </si>
  <si>
    <t>Thu Nhập Chịu Thuế Tính Trước (%)</t>
  </si>
  <si>
    <t>Chi phí trực tiếp khác (%)</t>
  </si>
  <si>
    <t>Thuế Giá Trị Gia Tăng (%)</t>
  </si>
  <si>
    <t>STT</t>
  </si>
  <si>
    <t>Thiết kế bởi Kỹ Sư: Nguyễn Ngọc Cầm - ĐT: 0944.280.369</t>
  </si>
  <si>
    <t>MHĐG</t>
  </si>
  <si>
    <t>TÊN CÔNG VIỆC</t>
  </si>
  <si>
    <t>ĐVT</t>
  </si>
  <si>
    <t>m3</t>
  </si>
  <si>
    <t>%</t>
  </si>
  <si>
    <t>THÀNH TIỀN</t>
  </si>
  <si>
    <t>Đồng</t>
  </si>
  <si>
    <t>Công trình :</t>
  </si>
  <si>
    <t>KH</t>
  </si>
  <si>
    <t>END</t>
  </si>
  <si>
    <t>BẢNG ĐƠN GIÁ XÂY DỰNG CHI TIẾT TẠM</t>
  </si>
  <si>
    <t>KHỐI
LƯỢNG</t>
  </si>
  <si>
    <t>HỆ SỐ</t>
  </si>
  <si>
    <t>MHĐM</t>
  </si>
  <si>
    <t>ĐỊNH MỨC</t>
  </si>
  <si>
    <t>Tỷ Lệ Chi Phí Xây Dựng Nhà Tạm (%)</t>
  </si>
  <si>
    <t>(VL+NC+XM)</t>
  </si>
  <si>
    <t>Hạng mục :</t>
  </si>
  <si>
    <t>DIỄN GIẢI</t>
  </si>
  <si>
    <t>HỢP GIÁ</t>
  </si>
  <si>
    <t>BẢNG ĐƠN GIÁ CHI TIẾT DỰ THẦU</t>
  </si>
  <si>
    <t>* Cộng Chi Phí Trực Tiếp (T)</t>
  </si>
  <si>
    <t>Chi Phí Trực Tiếp Khác (TT)</t>
  </si>
  <si>
    <t xml:space="preserve"> - Cộng Vật Liệu (VL)</t>
  </si>
  <si>
    <t xml:space="preserve"> - Cộng Máy Thi Công (XM)</t>
  </si>
  <si>
    <t xml:space="preserve"> - Cộng Nhân Công (NC)</t>
  </si>
  <si>
    <t>Chi Phí Chung (C)</t>
  </si>
  <si>
    <t>Thu Nhập Chịu Thuế Tính Trước (TL)</t>
  </si>
  <si>
    <t>* Chi Phí Xây Dựng Trước Thuế (G)</t>
  </si>
  <si>
    <t>Thuế Giá Trị Gia Tăng (GTGT)</t>
  </si>
  <si>
    <t>Chi Phí Xây Dựng Nhà Tạm (Gxdnt)</t>
  </si>
  <si>
    <t>* Cộng Đơn Giá Đấu Thầu (W)</t>
  </si>
  <si>
    <t>* Cộng CPXD Trước Thuế (Gxd)</t>
  </si>
  <si>
    <t>BẢNG TỔNG HỢP ĐƠN GIÁ DỰ THẦU</t>
  </si>
  <si>
    <t>TÊN HẠNG MỤC CÔNG VIỆC</t>
  </si>
  <si>
    <t>TỔNG GIÁ TRỊ DỰ THẦU :</t>
  </si>
  <si>
    <t>MTC#</t>
  </si>
  <si>
    <t>A_Vật Liệu</t>
  </si>
  <si>
    <t>B_Nhân Công</t>
  </si>
  <si>
    <t>C_Máy Thi Công</t>
  </si>
  <si>
    <t>100m2</t>
  </si>
  <si>
    <t>Nhân công 3,5/7</t>
  </si>
  <si>
    <t>VL#</t>
  </si>
  <si>
    <t>100m3</t>
  </si>
  <si>
    <t>cây</t>
  </si>
  <si>
    <t>Dự toán mẫu</t>
  </si>
  <si>
    <t>Nhân công 3,0/7</t>
  </si>
  <si>
    <t>Máy ủi 108cv</t>
  </si>
  <si>
    <t>Cây chống</t>
  </si>
  <si>
    <t>Đơn vị tính: đồng</t>
  </si>
  <si>
    <t>ĐVT  :  100m2</t>
  </si>
  <si>
    <t>A</t>
  </si>
  <si>
    <t>B</t>
  </si>
  <si>
    <t>(VL+NC+XM+TT)</t>
  </si>
  <si>
    <t>T+C+TL</t>
  </si>
  <si>
    <t>Gxdnt</t>
  </si>
  <si>
    <t>G+Gxdnt</t>
  </si>
  <si>
    <t>Gxd</t>
  </si>
  <si>
    <t>Gxd+GTGT</t>
  </si>
  <si>
    <t>W</t>
  </si>
  <si>
    <t>ĐVT  :  100m3</t>
  </si>
  <si>
    <t>m2</t>
  </si>
  <si>
    <t>Cừ tràm</t>
  </si>
  <si>
    <t>m</t>
  </si>
  <si>
    <t>AL.16121</t>
  </si>
  <si>
    <t>Rải vải địa kỹ thuật làm nền đường</t>
  </si>
  <si>
    <t>AB.66113</t>
  </si>
  <si>
    <t>Đắp cát công trình bằng máy đầm 9T, K=0,95</t>
  </si>
  <si>
    <t>Vải địa kỹ thuật</t>
  </si>
  <si>
    <t>Cát sông</t>
  </si>
  <si>
    <t>Máy đầm BH tự hành 9T</t>
  </si>
  <si>
    <t>MHĐG  :  AL.16121    Rải vải địa kỹ thuật làm nền đường</t>
  </si>
  <si>
    <t>MHĐG  :  AB.66113    Đắp cát công trình bằng máy đầm 9T, K=0,95</t>
  </si>
  <si>
    <t>ĐƠN
VỊ</t>
  </si>
  <si>
    <t>NHẬP TÊN HẠNG MỤC CÔNG VIỆC</t>
  </si>
  <si>
    <t>**</t>
  </si>
  <si>
    <t>NHẬP TÊN CỦA HẠNG MỤC CÔNG VIỆC</t>
  </si>
  <si>
    <t>AC.11221</t>
  </si>
  <si>
    <t>Đóng cọc gỗ (hoặc cọc tràm) ngập đất, cọc &gt;2,5m, đất C1</t>
  </si>
  <si>
    <t>100m</t>
  </si>
  <si>
    <t>Gỗ ván khuôn</t>
  </si>
  <si>
    <t>*    NHẬP TÊN HẠNG MỤC CÔNG VIỆC</t>
  </si>
  <si>
    <t>HM</t>
  </si>
  <si>
    <t>**    NHẬP TÊN CỦA HẠNG MỤC CÔNG VIỆC</t>
  </si>
  <si>
    <t>MHĐG  :  AC.11221    Đóng cọc gỗ (hoặc cọc tràm) ngập đất, cọc &gt;2,5m, đất C1</t>
  </si>
  <si>
    <t>ĐVT  :  100m</t>
  </si>
  <si>
    <t>BẢNG HỆ SỐ NỘI SUY THEO QUYẾT ĐỊNH SỐ 79/QĐ-BXD NGÀY 15/02/2017 CỦA BỘ XÂY DỰNG</t>
  </si>
  <si>
    <t>Bảng 1</t>
  </si>
  <si>
    <r>
      <t xml:space="preserve">Định mức chi phí </t>
    </r>
    <r>
      <rPr>
        <b/>
        <u/>
        <sz val="12"/>
        <color indexed="12"/>
        <rFont val="Times New Roman"/>
        <family val="1"/>
      </rPr>
      <t>quản lý dự án</t>
    </r>
  </si>
  <si>
    <t>Lọai công trình</t>
  </si>
  <si>
    <r>
      <t>Chi phí</t>
    </r>
    <r>
      <rPr>
        <b/>
        <u/>
        <sz val="12"/>
        <color indexed="17"/>
        <rFont val="Times New Roman"/>
        <family val="1"/>
      </rPr>
      <t xml:space="preserve"> xây dựng</t>
    </r>
    <r>
      <rPr>
        <b/>
        <sz val="12"/>
        <color indexed="17"/>
        <rFont val="Times New Roman"/>
        <family val="1"/>
      </rPr>
      <t xml:space="preserve"> và </t>
    </r>
    <r>
      <rPr>
        <b/>
        <u/>
        <sz val="12"/>
        <color indexed="17"/>
        <rFont val="Times New Roman"/>
        <family val="1"/>
      </rPr>
      <t>thiết bị</t>
    </r>
    <r>
      <rPr>
        <b/>
        <sz val="12"/>
        <color indexed="17"/>
        <rFont val="Times New Roman"/>
        <family val="1"/>
      </rPr>
      <t xml:space="preserve"> trước thuế(tỷ đồng)</t>
    </r>
  </si>
  <si>
    <t>Bảng 2</t>
  </si>
  <si>
    <r>
      <t xml:space="preserve">Định mức chi phí </t>
    </r>
    <r>
      <rPr>
        <b/>
        <u/>
        <sz val="12"/>
        <color indexed="12"/>
        <rFont val="Times New Roman"/>
        <family val="1"/>
      </rPr>
      <t xml:space="preserve">báo cáo nghiên cứu </t>
    </r>
    <r>
      <rPr>
        <b/>
        <u/>
        <sz val="12"/>
        <color rgb="FFFF0000"/>
        <rFont val="Times New Roman"/>
        <family val="1"/>
      </rPr>
      <t>tiền</t>
    </r>
    <r>
      <rPr>
        <b/>
        <u/>
        <sz val="12"/>
        <color indexed="12"/>
        <rFont val="Times New Roman"/>
        <family val="1"/>
      </rPr>
      <t xml:space="preserve"> khả thi</t>
    </r>
  </si>
  <si>
    <t>Bảng 3</t>
  </si>
  <si>
    <r>
      <t xml:space="preserve">Định mức chi phí </t>
    </r>
    <r>
      <rPr>
        <b/>
        <u/>
        <sz val="12"/>
        <color indexed="12"/>
        <rFont val="Times New Roman"/>
        <family val="1"/>
      </rPr>
      <t>báo cáo nghiên cứu khả thi</t>
    </r>
  </si>
  <si>
    <t>Bảng 4</t>
  </si>
  <si>
    <r>
      <t xml:space="preserve">Định mức chi phí </t>
    </r>
    <r>
      <rPr>
        <b/>
        <u/>
        <sz val="12"/>
        <color indexed="12"/>
        <rFont val="Times New Roman"/>
        <family val="1"/>
      </rPr>
      <t>báo cáo kinh tế kỹ thuật</t>
    </r>
  </si>
  <si>
    <t>Bảng 6</t>
  </si>
  <si>
    <r>
      <t xml:space="preserve">Định mức chi phí </t>
    </r>
    <r>
      <rPr>
        <b/>
        <u/>
        <sz val="12"/>
        <color indexed="12"/>
        <rFont val="Times New Roman"/>
        <family val="1"/>
      </rPr>
      <t>Thiết kế BVTC công trình cấp đặc biệt (Thiết kế 2 bước)</t>
    </r>
  </si>
  <si>
    <r>
      <t>Chi phí</t>
    </r>
    <r>
      <rPr>
        <b/>
        <u/>
        <sz val="12"/>
        <color indexed="17"/>
        <rFont val="Times New Roman"/>
        <family val="1"/>
      </rPr>
      <t xml:space="preserve"> xây dựng</t>
    </r>
    <r>
      <rPr>
        <b/>
        <sz val="12"/>
        <color indexed="17"/>
        <rFont val="Times New Roman"/>
        <family val="1"/>
      </rPr>
      <t xml:space="preserve"> </t>
    </r>
    <r>
      <rPr>
        <b/>
        <sz val="12"/>
        <color indexed="17"/>
        <rFont val="Times New Roman"/>
        <family val="1"/>
      </rPr>
      <t>trước thuế(tỷ đồng)</t>
    </r>
  </si>
  <si>
    <t>Bảng</t>
  </si>
  <si>
    <r>
      <t xml:space="preserve">Định mức chi phí </t>
    </r>
    <r>
      <rPr>
        <b/>
        <u/>
        <sz val="12"/>
        <color indexed="12"/>
        <rFont val="Times New Roman"/>
        <family val="1"/>
      </rPr>
      <t>Thiết kế BVTC công trình cấp I (Thiết kế 2 bước)</t>
    </r>
  </si>
  <si>
    <r>
      <t xml:space="preserve">Định mức chi phí </t>
    </r>
    <r>
      <rPr>
        <b/>
        <u/>
        <sz val="12"/>
        <color indexed="12"/>
        <rFont val="Times New Roman"/>
        <family val="1"/>
      </rPr>
      <t>Thiết kế BVTC công trình cấp II (Thiết kế 2 bước)</t>
    </r>
  </si>
  <si>
    <r>
      <t xml:space="preserve">Định mức chi phí </t>
    </r>
    <r>
      <rPr>
        <b/>
        <u/>
        <sz val="12"/>
        <color indexed="12"/>
        <rFont val="Times New Roman"/>
        <family val="1"/>
      </rPr>
      <t>Thiết kế BVTC công trình cấp III (Thiết kế 2 bước)</t>
    </r>
  </si>
  <si>
    <r>
      <t xml:space="preserve">Định mức chi phí </t>
    </r>
    <r>
      <rPr>
        <b/>
        <u/>
        <sz val="12"/>
        <color indexed="12"/>
        <rFont val="Times New Roman"/>
        <family val="1"/>
      </rPr>
      <t>Thiết kế BVTC công trình cấp IV (Thiết kế 2 bước)</t>
    </r>
  </si>
  <si>
    <t>Bảng 15</t>
  </si>
  <si>
    <r>
      <t xml:space="preserve">Định mức chi phí </t>
    </r>
    <r>
      <rPr>
        <b/>
        <u/>
        <sz val="12"/>
        <color indexed="12"/>
        <rFont val="Times New Roman"/>
        <family val="1"/>
      </rPr>
      <t xml:space="preserve">thẩm tra báo cáo nghiên cứu </t>
    </r>
    <r>
      <rPr>
        <b/>
        <u/>
        <sz val="12"/>
        <color rgb="FFFF0000"/>
        <rFont val="Times New Roman"/>
        <family val="1"/>
      </rPr>
      <t>tiền</t>
    </r>
    <r>
      <rPr>
        <b/>
        <u/>
        <sz val="12"/>
        <color indexed="12"/>
        <rFont val="Times New Roman"/>
        <family val="1"/>
      </rPr>
      <t xml:space="preserve"> khả thi</t>
    </r>
  </si>
  <si>
    <t>Bảng 16</t>
  </si>
  <si>
    <r>
      <t xml:space="preserve">Định mức chi phí </t>
    </r>
    <r>
      <rPr>
        <b/>
        <u/>
        <sz val="12"/>
        <color indexed="12"/>
        <rFont val="Times New Roman"/>
        <family val="1"/>
      </rPr>
      <t>thẩm tra báo cáo nghiên cứu</t>
    </r>
    <r>
      <rPr>
        <b/>
        <u/>
        <sz val="12"/>
        <color indexed="12"/>
        <rFont val="Times New Roman"/>
        <family val="1"/>
      </rPr>
      <t xml:space="preserve"> khả thi</t>
    </r>
  </si>
  <si>
    <t>Bảng 17</t>
  </si>
  <si>
    <r>
      <t xml:space="preserve">Định mức chi phí </t>
    </r>
    <r>
      <rPr>
        <b/>
        <u/>
        <sz val="12"/>
        <color indexed="12"/>
        <rFont val="Times New Roman"/>
        <family val="1"/>
      </rPr>
      <t>thẩm tra Thiết kế xây dựng</t>
    </r>
  </si>
  <si>
    <r>
      <t>Chi phí</t>
    </r>
    <r>
      <rPr>
        <b/>
        <u/>
        <sz val="12"/>
        <color indexed="17"/>
        <rFont val="Times New Roman"/>
        <family val="1"/>
      </rPr>
      <t xml:space="preserve"> xây dựng</t>
    </r>
    <r>
      <rPr>
        <b/>
        <sz val="12"/>
        <color indexed="17"/>
        <rFont val="Times New Roman"/>
        <family val="1"/>
      </rPr>
      <t xml:space="preserve"> trước thuế(tỷ đồng)</t>
    </r>
  </si>
  <si>
    <t>Bảng 18</t>
  </si>
  <si>
    <r>
      <t xml:space="preserve">Định mức chi phí </t>
    </r>
    <r>
      <rPr>
        <b/>
        <u/>
        <sz val="12"/>
        <color indexed="12"/>
        <rFont val="Times New Roman"/>
        <family val="1"/>
      </rPr>
      <t>thẩm tra Dự toán xây dựng</t>
    </r>
  </si>
  <si>
    <t>Bảng 19</t>
  </si>
  <si>
    <r>
      <t xml:space="preserve">Định mức lập </t>
    </r>
    <r>
      <rPr>
        <b/>
        <u/>
        <sz val="12"/>
        <color indexed="12"/>
        <rFont val="Times New Roman"/>
        <family val="1"/>
      </rPr>
      <t>Hồ sơ mời thầu, đánh giá hồ sơ dự thầu tư vấn</t>
    </r>
  </si>
  <si>
    <t>Khảo sát + lập báo cáo NCKT</t>
  </si>
  <si>
    <r>
      <t>Chi phí</t>
    </r>
    <r>
      <rPr>
        <b/>
        <u/>
        <sz val="12"/>
        <color indexed="17"/>
        <rFont val="Times New Roman"/>
        <family val="1"/>
      </rPr>
      <t xml:space="preserve"> tư vấn</t>
    </r>
    <r>
      <rPr>
        <b/>
        <sz val="12"/>
        <color indexed="17"/>
        <rFont val="Times New Roman"/>
        <family val="1"/>
      </rPr>
      <t xml:space="preserve"> trước thuế(tỷ đồng)</t>
    </r>
  </si>
  <si>
    <t>Khảo sát + lập TK BVTC</t>
  </si>
  <si>
    <t>Bảng 20</t>
  </si>
  <si>
    <r>
      <t xml:space="preserve">Định mức lập </t>
    </r>
    <r>
      <rPr>
        <b/>
        <u/>
        <sz val="12"/>
        <color indexed="12"/>
        <rFont val="Times New Roman"/>
        <family val="1"/>
      </rPr>
      <t>Hồ sơ mời thầu, đánh giá hồ sơ dự thầu thi công xây dựng</t>
    </r>
  </si>
  <si>
    <t>Bảng 21</t>
  </si>
  <si>
    <r>
      <t xml:space="preserve">Định mức lập </t>
    </r>
    <r>
      <rPr>
        <b/>
        <u/>
        <sz val="12"/>
        <color indexed="12"/>
        <rFont val="Times New Roman"/>
        <family val="1"/>
      </rPr>
      <t>Hồ sơ mời thầu, đánh giá hồ sơ dự thầu mua sắm vật tư, thiết bị</t>
    </r>
  </si>
  <si>
    <r>
      <t>Chi phí</t>
    </r>
    <r>
      <rPr>
        <b/>
        <u/>
        <sz val="12"/>
        <color indexed="17"/>
        <rFont val="Times New Roman"/>
        <family val="1"/>
      </rPr>
      <t xml:space="preserve"> thiết bị</t>
    </r>
    <r>
      <rPr>
        <b/>
        <sz val="12"/>
        <color indexed="17"/>
        <rFont val="Times New Roman"/>
        <family val="1"/>
      </rPr>
      <t xml:space="preserve"> trước thuế(tỷ đồng)</t>
    </r>
  </si>
  <si>
    <t>Bảng 22</t>
  </si>
  <si>
    <r>
      <t xml:space="preserve">Định mức chi phí </t>
    </r>
    <r>
      <rPr>
        <b/>
        <u/>
        <sz val="12"/>
        <color indexed="12"/>
        <rFont val="Times New Roman"/>
        <family val="1"/>
      </rPr>
      <t>Giám sát thi công xây dựng</t>
    </r>
  </si>
  <si>
    <t>Bảng 23</t>
  </si>
  <si>
    <r>
      <t xml:space="preserve">Định mức chi phí </t>
    </r>
    <r>
      <rPr>
        <b/>
        <u/>
        <sz val="12"/>
        <color indexed="12"/>
        <rFont val="Times New Roman"/>
        <family val="1"/>
      </rPr>
      <t>Giám sát lắp đặt thiế bị</t>
    </r>
  </si>
  <si>
    <t>Bảng 24</t>
  </si>
  <si>
    <r>
      <t xml:space="preserve">Định mức </t>
    </r>
    <r>
      <rPr>
        <b/>
        <u/>
        <sz val="12"/>
        <color rgb="FF3333CC"/>
        <rFont val="Times New Roman"/>
        <family val="1"/>
      </rPr>
      <t>Giá</t>
    </r>
    <r>
      <rPr>
        <b/>
        <u/>
        <sz val="12"/>
        <color indexed="12"/>
        <rFont val="Times New Roman"/>
        <family val="1"/>
      </rPr>
      <t>m sát công tác khảo sát</t>
    </r>
  </si>
  <si>
    <t>Khảo sát lập báo cáo NCKT</t>
  </si>
  <si>
    <r>
      <t>Chi phí</t>
    </r>
    <r>
      <rPr>
        <b/>
        <u/>
        <sz val="12"/>
        <color indexed="17"/>
        <rFont val="Times New Roman"/>
        <family val="1"/>
      </rPr>
      <t xml:space="preserve"> khảo sát</t>
    </r>
    <r>
      <rPr>
        <b/>
        <sz val="12"/>
        <color indexed="17"/>
        <rFont val="Times New Roman"/>
        <family val="1"/>
      </rPr>
      <t xml:space="preserve"> trước thuế(tỷ đồng)</t>
    </r>
  </si>
  <si>
    <t>Khảo sát lập Thiết kế BVTC</t>
  </si>
  <si>
    <t>BẢNG HỆ SỐ NỘI SUY THEO THÔNG TƯ 210/2016/TT-BTC NGÀY 10/11/2016 CỦA BỘ TÀI CHÍNH</t>
  </si>
  <si>
    <t>Phụ lục 1</t>
  </si>
  <si>
    <r>
      <t xml:space="preserve">Định mức phí </t>
    </r>
    <r>
      <rPr>
        <b/>
        <u/>
        <sz val="12"/>
        <color indexed="12"/>
        <rFont val="Times New Roman"/>
        <family val="1"/>
      </rPr>
      <t>Thẩm định Thiết kế Khi Cơ quan Nhà nước tự thẩm định</t>
    </r>
  </si>
  <si>
    <r>
      <t xml:space="preserve">Định mức phí </t>
    </r>
    <r>
      <rPr>
        <b/>
        <u/>
        <sz val="12"/>
        <color indexed="12"/>
        <rFont val="Times New Roman"/>
        <family val="1"/>
      </rPr>
      <t>Thẩm định Dự toán Khi Cơ quan Nhà nước tự thẩm định</t>
    </r>
  </si>
  <si>
    <t>Phụ lục 2</t>
  </si>
  <si>
    <r>
      <t xml:space="preserve">Định mức phí </t>
    </r>
    <r>
      <rPr>
        <b/>
        <u/>
        <sz val="12"/>
        <color indexed="12"/>
        <rFont val="Times New Roman"/>
        <family val="1"/>
      </rPr>
      <t>Thẩm định Thiết kế Khi Cơ quan Nhà nước thuê tư vấn cùng thẩm định</t>
    </r>
  </si>
  <si>
    <r>
      <t xml:space="preserve">Định mức phí </t>
    </r>
    <r>
      <rPr>
        <b/>
        <u/>
        <sz val="12"/>
        <color indexed="12"/>
        <rFont val="Times New Roman"/>
        <family val="1"/>
      </rPr>
      <t>Thẩm định Dự toán Khi Cơ quan Nhà nước thuê tư vấn cùng thẩm định</t>
    </r>
  </si>
  <si>
    <t>BẢNG HỆ SỐ NỘI SUY THEO THÔNG TƯ 209/2016/TT-BTC NGÀY 10/11/2016 CỦA BỘ TÀI CHÍNH</t>
  </si>
  <si>
    <r>
      <t xml:space="preserve">Định mức phí </t>
    </r>
    <r>
      <rPr>
        <b/>
        <u/>
        <sz val="12"/>
        <color indexed="12"/>
        <rFont val="Times New Roman"/>
        <family val="1"/>
      </rPr>
      <t>Thẩm định Dự án đầu tư xây dựng</t>
    </r>
  </si>
  <si>
    <r>
      <t>Chi phí</t>
    </r>
    <r>
      <rPr>
        <b/>
        <u/>
        <sz val="12"/>
        <color indexed="17"/>
        <rFont val="Times New Roman"/>
        <family val="1"/>
      </rPr>
      <t xml:space="preserve"> Tổng mức đầu tư</t>
    </r>
    <r>
      <rPr>
        <b/>
        <sz val="12"/>
        <color indexed="17"/>
        <rFont val="Times New Roman"/>
        <family val="1"/>
      </rPr>
      <t>(tỷ đồng)</t>
    </r>
  </si>
  <si>
    <t>BẢNG HỆ SỐ NỘI SUY THEO THÔNG TƯ 09/2016/TT-BTC NGÀY 18/01/2016 CỦA BỘ TÀI CHÍNH</t>
  </si>
  <si>
    <r>
      <t xml:space="preserve">Định mức chi phí </t>
    </r>
    <r>
      <rPr>
        <b/>
        <u/>
        <sz val="12"/>
        <color indexed="12"/>
        <rFont val="Times New Roman"/>
        <family val="1"/>
      </rPr>
      <t>Thẩm tra phê duyệt quyết toán</t>
    </r>
  </si>
  <si>
    <r>
      <t xml:space="preserve">Định mức chi phí </t>
    </r>
    <r>
      <rPr>
        <b/>
        <u/>
        <sz val="12"/>
        <color indexed="12"/>
        <rFont val="Times New Roman"/>
        <family val="1"/>
      </rPr>
      <t>Kiểm toán</t>
    </r>
  </si>
  <si>
    <t>Công nhân XD, nhóm I - bậc 3,5/7</t>
  </si>
  <si>
    <t>Công nhân XD, nhóm I - bậc 3,0/7</t>
  </si>
  <si>
    <t>Máy ủi 110cv</t>
  </si>
  <si>
    <t>BÊ TÔNG LỘ ĐÊ</t>
  </si>
  <si>
    <t>Đào xúc đất mặt bờ bao</t>
  </si>
  <si>
    <t>ĐĐ.0202</t>
  </si>
  <si>
    <t>Đào xúc đất đổ lên ô tô vận chuyển</t>
  </si>
  <si>
    <t>AB.42111/2</t>
  </si>
  <si>
    <t>Vận chuyển đất 2km ô tô 5T</t>
  </si>
  <si>
    <t>AD.25121</t>
  </si>
  <si>
    <t>Lu lèn lại mặt đường cũ, K≥0,95</t>
  </si>
  <si>
    <t>AD.11212A</t>
  </si>
  <si>
    <t>Trải CPĐD Dmax=37,5mm</t>
  </si>
  <si>
    <t>AL.16121C</t>
  </si>
  <si>
    <t>Trải vải nhựa lót đổ bê tông mặt đê</t>
  </si>
  <si>
    <t>AF.82411</t>
  </si>
  <si>
    <t>Ván khuôn đổ bê tông mặt đê</t>
  </si>
  <si>
    <t>AF.15414</t>
  </si>
  <si>
    <t>Bê tông mặt đê đá 1x2 M250</t>
  </si>
  <si>
    <t>CỌC TIÊU VÀ BIỂN BÁO</t>
  </si>
  <si>
    <t>AG.13111/Ø6</t>
  </si>
  <si>
    <t>Cốt thép cọc tiêu Ø6mm</t>
  </si>
  <si>
    <t>tấn</t>
  </si>
  <si>
    <t>AG.13111/Ø10</t>
  </si>
  <si>
    <t>Cốt thép cọc tiêu Ø10mm</t>
  </si>
  <si>
    <t>AG.11113A</t>
  </si>
  <si>
    <t>Bê tông cọc đá 1x2 M200</t>
  </si>
  <si>
    <t>AG.32321</t>
  </si>
  <si>
    <t>Ván khuôn đổ bê tông cọc tiêu</t>
  </si>
  <si>
    <t>AK.84423A</t>
  </si>
  <si>
    <t>Sơn dầu 2 lớp</t>
  </si>
  <si>
    <t>AB.11411</t>
  </si>
  <si>
    <t>Đào đất trồng cọc tiêu và biển báo</t>
  </si>
  <si>
    <t>AF.11212</t>
  </si>
  <si>
    <t>Bê tông móng cọc đá 1x2 M150</t>
  </si>
  <si>
    <t>AG.42121A</t>
  </si>
  <si>
    <t>Lắp đặt cọc tiêu và biển báo</t>
  </si>
  <si>
    <t>cái</t>
  </si>
  <si>
    <t>DGR.13</t>
  </si>
  <si>
    <t>Cung cấp trụ gắn biển báo D=90mm</t>
  </si>
  <si>
    <t>trụ</t>
  </si>
  <si>
    <t>DGR.14B</t>
  </si>
  <si>
    <t>Cung cấp biển báo tam giác</t>
  </si>
  <si>
    <t>DGR.14C</t>
  </si>
  <si>
    <t>Cung cấp biển báo tròn</t>
  </si>
  <si>
    <t>CÂY XANH</t>
  </si>
  <si>
    <t>Trồng cây mai Hoàng Hậu</t>
  </si>
  <si>
    <t>CX.2.01.03B1</t>
  </si>
  <si>
    <t>Bảo dưỡng cây sau khi trồng</t>
  </si>
  <si>
    <t>CX.2.03.03.</t>
  </si>
  <si>
    <t>Trồng hoa hắc ó (đường viền 0,2m)</t>
  </si>
  <si>
    <t>CX.2.03.03..</t>
  </si>
  <si>
    <t>Trồng hoa mắt ngọc</t>
  </si>
  <si>
    <t>CX.2.03.03…</t>
  </si>
  <si>
    <t>Trồng hoa huyết dụ</t>
  </si>
  <si>
    <t>CX.2.03.03….</t>
  </si>
  <si>
    <t>Trồng hoa gấm (đỏ, vàng)</t>
  </si>
  <si>
    <t>CX.2.10.011</t>
  </si>
  <si>
    <t>Tưới nước bảo dưỡng bồn hoa</t>
  </si>
  <si>
    <t>THANG LÊN XUỐNG</t>
  </si>
  <si>
    <t>Từ cao trình +0,00 đến +0,50</t>
  </si>
  <si>
    <t>AB.11311</t>
  </si>
  <si>
    <t>Đào móng băng rộng &lt;=3, sâu &lt;=1m</t>
  </si>
  <si>
    <t>KH.0101</t>
  </si>
  <si>
    <t>Đóng cừ tràm L&lt;=4m bằng máy đào</t>
  </si>
  <si>
    <t>Trải vải nhựa lót đổ bê tông</t>
  </si>
  <si>
    <t>AF.11112A</t>
  </si>
  <si>
    <t>Bê tông lót móng đá 1x2 M150</t>
  </si>
  <si>
    <t>AF.61811/Ø6</t>
  </si>
  <si>
    <t>Cốt thép thang lên xuống Ø6mm</t>
  </si>
  <si>
    <t>AF.61811/Ø10</t>
  </si>
  <si>
    <t>Cốt thép thang lên xuống Ø10mm</t>
  </si>
  <si>
    <t>AF.61821/Ø12</t>
  </si>
  <si>
    <t>Cốt thép thang lên xuống Ø12mm</t>
  </si>
  <si>
    <t>AF.81161</t>
  </si>
  <si>
    <t>Ván khuôn đổ bê tông thang lên xuống</t>
  </si>
  <si>
    <t>AF.12613</t>
  </si>
  <si>
    <t>Bê tông thang lên xuống đá 1x2 M200</t>
  </si>
  <si>
    <t>AF.11313</t>
  </si>
  <si>
    <t>Bê tông nền, đá 1x2 M200</t>
  </si>
  <si>
    <t>Từ cao trình +0,50 đến +1,92</t>
  </si>
  <si>
    <t>C:\Users\Administrator\Google Drive\DTC2018\DON GIA BEN TRE\DON GIA-BEN TRE-2018.xls</t>
  </si>
  <si>
    <t>AB.24111</t>
  </si>
  <si>
    <t>CX.2.02.05F</t>
  </si>
  <si>
    <t>Đào xúc đất đắp vị trí tránh xe</t>
  </si>
  <si>
    <t>Đắp bờ bao tạo thềm bằng máy đào 0,65m3 và đầm cóc 50kg, K=0,90</t>
  </si>
  <si>
    <t>Máy đào BX 0,4m3</t>
  </si>
  <si>
    <t>Máy đào BX 0,65m3</t>
  </si>
  <si>
    <t>Máy đầm cóc</t>
  </si>
  <si>
    <t>Ô tô tự đổ 5T</t>
  </si>
  <si>
    <t>Ô tô tưới nước 5m3</t>
  </si>
  <si>
    <t>Máy đầm BH tự hành 25T</t>
  </si>
  <si>
    <t>Máy san tự hành 108cv</t>
  </si>
  <si>
    <t>CPĐD Dmax=37.5mm</t>
  </si>
  <si>
    <t>Công nhân XD, nhóm I - bậc 4,0/7</t>
  </si>
  <si>
    <t>Máy đầm rung tự hành 25T</t>
  </si>
  <si>
    <t>Máy đầm BH tự hành 16T</t>
  </si>
  <si>
    <t>Máy đầm bánh thép tự hành 10T</t>
  </si>
  <si>
    <t>Vải nhựa</t>
  </si>
  <si>
    <t>Thép tấm</t>
  </si>
  <si>
    <t>kg</t>
  </si>
  <si>
    <t>Công nhân XD, nhóm I - bậc 4,5/7</t>
  </si>
  <si>
    <t>Xi măng PC40</t>
  </si>
  <si>
    <t>Cát vàng hạt to</t>
  </si>
  <si>
    <t>Đá 1x2</t>
  </si>
  <si>
    <t>Nước</t>
  </si>
  <si>
    <t>lít</t>
  </si>
  <si>
    <t>Gỗ làm khe co dãn</t>
  </si>
  <si>
    <t>Nhựa đường</t>
  </si>
  <si>
    <t>Máy trộn BT 500lít</t>
  </si>
  <si>
    <t>Máy đầm bàn BT 1Kw</t>
  </si>
  <si>
    <t>Máy đầm dùi BT 1,5Kw</t>
  </si>
  <si>
    <t>Thép tròn D=6mm</t>
  </si>
  <si>
    <t>Kẽm buộc</t>
  </si>
  <si>
    <t>Máy cắt uốn C/T 5Kw</t>
  </si>
  <si>
    <t>Thép tròn D=10mm</t>
  </si>
  <si>
    <t>Máy trộn BT 250lít</t>
  </si>
  <si>
    <t>Thép hình</t>
  </si>
  <si>
    <t>Que hàn</t>
  </si>
  <si>
    <t>Máy hàn xoay chiều 23 KW</t>
  </si>
  <si>
    <t>Sơn dầu</t>
  </si>
  <si>
    <t>Trụ gắn biển D=90</t>
  </si>
  <si>
    <t>Biển báo tam giác</t>
  </si>
  <si>
    <t>Biển báo tròn</t>
  </si>
  <si>
    <t>Cây mai Hoàng Hậu</t>
  </si>
  <si>
    <t>Dây ni lông</t>
  </si>
  <si>
    <t>Nước (m3)</t>
  </si>
  <si>
    <t>Phân hữu cơ</t>
  </si>
  <si>
    <t>Hắc ó</t>
  </si>
  <si>
    <t>giỏ</t>
  </si>
  <si>
    <t>Mắt ngọc</t>
  </si>
  <si>
    <t>Huyết dụ</t>
  </si>
  <si>
    <t>Gấm (đỏ, vàng)</t>
  </si>
  <si>
    <t>Máy bơm nước xăng 3Cv</t>
  </si>
  <si>
    <t>Thép tròn D=12mm</t>
  </si>
  <si>
    <t>Gỗ chống</t>
  </si>
  <si>
    <t>Đinh các loại</t>
  </si>
  <si>
    <t>Đinh đỉa</t>
  </si>
  <si>
    <t>Máy vận thăng 0,8T</t>
  </si>
  <si>
    <t>Đơn vị tính</t>
  </si>
  <si>
    <t>II</t>
  </si>
  <si>
    <t>Thành tiền (đồng)</t>
  </si>
  <si>
    <t>Khối lượng</t>
  </si>
  <si>
    <t>Tổng</t>
  </si>
  <si>
    <t>Ghi chú</t>
  </si>
  <si>
    <t/>
  </si>
  <si>
    <t>100 m²</t>
  </si>
  <si>
    <t>100 m3</t>
  </si>
  <si>
    <t>100 m³</t>
  </si>
  <si>
    <t>100m³</t>
  </si>
  <si>
    <t>1 m3</t>
  </si>
  <si>
    <t>100 m</t>
  </si>
  <si>
    <t>100 m2</t>
  </si>
  <si>
    <t>1m3</t>
  </si>
  <si>
    <t>1 m</t>
  </si>
  <si>
    <t>1 m³</t>
  </si>
  <si>
    <t>100m²</t>
  </si>
  <si>
    <t>1 m²</t>
  </si>
  <si>
    <t>1 m2</t>
  </si>
  <si>
    <t>Tấn</t>
  </si>
  <si>
    <t>Phát rừng tạo mặt bằng bằng cơ giới mật độ &lt;= 2 cây/100m2</t>
  </si>
  <si>
    <t>100M3</t>
  </si>
  <si>
    <t>bộ</t>
  </si>
  <si>
    <t xml:space="preserve">Cụm cối trên </t>
  </si>
  <si>
    <t>III</t>
  </si>
  <si>
    <t xml:space="preserve">Khung cửa                           </t>
  </si>
  <si>
    <t>Cụm chốt cửa</t>
  </si>
  <si>
    <t xml:space="preserve">Cụm cối dưới  </t>
  </si>
  <si>
    <t>Cái</t>
  </si>
  <si>
    <t>Phát quang bằng cơ giới , mật độ &gt;5 cây/100m2</t>
  </si>
  <si>
    <t>Chặt cây ở mặt đất bằng phẳng D&lt;=30cm</t>
  </si>
  <si>
    <t>Đào gốc cây D&lt;=30cm</t>
  </si>
  <si>
    <t>San trả mặt bằng bằng máy ủi 110CV</t>
  </si>
  <si>
    <t>Bóc hữu cơ cự ly &lt;= 50m, Đất cấp I</t>
  </si>
  <si>
    <t>Đắp đường TC bằng máy đầm 9T K=0.9 (lấy đất đào tại chỗ)</t>
  </si>
  <si>
    <t>Trải đá cấp phối 0-4</t>
  </si>
  <si>
    <t>Đắp bao tảI đất thả dưới nước (35bao /m3)</t>
  </si>
  <si>
    <t>Lắp đặt thảm đá 6.0x2.0x0.3m dưới nước</t>
  </si>
  <si>
    <t xml:space="preserve">Đóng cọc bạch đàn D gốc=15cm, L=7m dưới nước </t>
  </si>
  <si>
    <t>Đóng cọc tràm D gốc8-10cm L=4,5m trên cạn</t>
  </si>
  <si>
    <t>Trải vải bạt</t>
  </si>
  <si>
    <t>Đắp cát bằng máy đầm 9T K=0.9</t>
  </si>
  <si>
    <t>Nhổ cọc bạch đàn D gốc&gt;=15cm, L=7m trên cạn</t>
  </si>
  <si>
    <t>Đóng cọc tràm D gốc8-10cm L=4,5m bằng máy đào trên cạn</t>
  </si>
  <si>
    <t>Phá dỡ kết cấu BTCT dưới nước</t>
  </si>
  <si>
    <t>Phá dỡ kết cấu BTCT trên cạn bằng búa căn</t>
  </si>
  <si>
    <t>Bê tông móng chèn hộ lan can đá 1x2 M200</t>
  </si>
  <si>
    <t>Bê tông  đá 1x2 M150</t>
  </si>
  <si>
    <t>Ván khuôn</t>
  </si>
  <si>
    <t>Đóng cọc thép hình, trên mặt nước, Cọc L &gt;10m, Đất cấp I ( phần ngập đất)</t>
  </si>
  <si>
    <t>Đóng cọc thép hình, trên mặt nước, Cọc L &gt;10m, Đất cấp I ( phần không ngập đất)</t>
  </si>
  <si>
    <t>Lắp dựng kết cấu thép dưới nước</t>
  </si>
  <si>
    <t>Tháo dỡ kết cấu thép dưới nước</t>
  </si>
  <si>
    <t>Nhổ cọc thép hình dưới nước</t>
  </si>
  <si>
    <t xml:space="preserve">Trải vải địa KT </t>
  </si>
  <si>
    <t>Bê tông đúc sẵn cọc đá dăm 1x2 M300</t>
  </si>
  <si>
    <t>Cốt thép cọc D&lt;=10mm</t>
  </si>
  <si>
    <t>Cốt thép cọc D&lt;=18mm</t>
  </si>
  <si>
    <t>Ván khuôn thép cọc</t>
  </si>
  <si>
    <t>Sản xuất cấu kiện thép đặt sẵn trong BT</t>
  </si>
  <si>
    <t>Lắp dựng cấu kiện thép đặt sẵn trong BT</t>
  </si>
  <si>
    <t>Cẩu tách cấu kiện bê tông cọc</t>
  </si>
  <si>
    <t>Nhổ cọc dẫn</t>
  </si>
  <si>
    <t>Sản xuất cọc dẫn thép: 1 bộ</t>
  </si>
  <si>
    <t>Thép hình I300</t>
  </si>
  <si>
    <t>Đập đầu cọc dưới nước</t>
  </si>
  <si>
    <t>Khung định vị đóng cọc:</t>
  </si>
  <si>
    <t>Sản xuất hệ khung giằng cừ</t>
  </si>
  <si>
    <t>Thép hình C20 3 lần tháo lắp , 01 bộ, Kvl=(2%+7%*3)/1=0,23</t>
  </si>
  <si>
    <t>4/Đào móng cống ,đắp mang cống:</t>
  </si>
  <si>
    <t>Bóc lớp hữu cơ bằng co gioi</t>
  </si>
  <si>
    <t>Đào hố móng bằng thủ công đất cấp I</t>
  </si>
  <si>
    <t>San đất bãi thải bằng máy ủi 110CV</t>
  </si>
  <si>
    <t>Đào xúc đất tại bãi  để đắp bằng máy đào&lt;= 0.8m3,ĐCI</t>
  </si>
  <si>
    <t>Bê tông bản đáy đá 1x2 M300 B&gt;250cm đổ bằng máy bơm</t>
  </si>
  <si>
    <t>Trộn vữa xi măng</t>
  </si>
  <si>
    <t>Bê tông lót đá dăm 4x6 ,B&gt;250cm M100</t>
  </si>
  <si>
    <t>Gia công cốt thép bản đáy d&lt;=18mm</t>
  </si>
  <si>
    <t>Gia công cốt thép bản đáy d&gt;18mm</t>
  </si>
  <si>
    <t>Ván khuôn thép bản đáy</t>
  </si>
  <si>
    <t>Bê tông tường thẳng, Dày&gt; 45cm Cao &lt;= 16 m,vữa BT đá 1x2 M300 đổ bằng máy bơm</t>
  </si>
  <si>
    <t>Gia công cốt thép tường d&lt;=18mm, H&lt;=16m</t>
  </si>
  <si>
    <t>SXLD, tháo dỡ ván khuôn thép tường</t>
  </si>
  <si>
    <t>Trải vải địa KT trên cạn</t>
  </si>
  <si>
    <t>Bê tông dầm vữa BT đá 1x2 M300 đổ bằng máy bơm</t>
  </si>
  <si>
    <t>Ván khuôn thép tường</t>
  </si>
  <si>
    <t>Đá dăm 1x2</t>
  </si>
  <si>
    <t>Bao tảI tẩm nhựa đường</t>
  </si>
  <si>
    <t>LĐ ống nhựa PVC D40mm</t>
  </si>
  <si>
    <t>Vữa lót M75 dày 3cm</t>
  </si>
  <si>
    <t>Bê tông đá 1x2 bản mặt cầu M300 đổ bằng máy bơm</t>
  </si>
  <si>
    <t>Bê tông gờ chắn, lan can đá 1x2 M300 đổ bằng máy bơm</t>
  </si>
  <si>
    <t>Gia công cốt thép mặt cầu D&lt;=10mm</t>
  </si>
  <si>
    <t>Ván khuôn kim loại bản mặt cầu</t>
  </si>
  <si>
    <t>Gia công cốt thép mặt cầu D&lt;=18mm</t>
  </si>
  <si>
    <t>LĐ ống nhựa PVC D60mm</t>
  </si>
  <si>
    <t>Bê tông bản dẫn đá 1x2 M300 B&gt;250cm đổ bằng máy bơm</t>
  </si>
  <si>
    <t>Đá xây M75</t>
  </si>
  <si>
    <t>LĐ ống nhựa PVC D32mm</t>
  </si>
  <si>
    <t>Gia công cốt thép d&lt;=10mm</t>
  </si>
  <si>
    <t>Bê tông mặt đường đá 1x2 M250</t>
  </si>
  <si>
    <t>Đắp cát bằng máy đầm 9T K=0.95</t>
  </si>
  <si>
    <t>Đắp áo đường bằng máy đào 0.8m3+ đầm cóc K=0.9 lấy đất tại chỗ</t>
  </si>
  <si>
    <t>Phá dỡ kết cấu mặt đường</t>
  </si>
  <si>
    <t>Bê tông đá 1x2 M200</t>
  </si>
  <si>
    <t>Nắp chụp PVC D20mm</t>
  </si>
  <si>
    <t>Thép nối D49mm, dày 2mm</t>
  </si>
  <si>
    <t>Đắp cát bù lún bằng máy đầm 9T K=0.95</t>
  </si>
  <si>
    <t>Đắp đất bù lún bằng máy đầm 9T K=0.9</t>
  </si>
  <si>
    <t>Vận chuyển đất để đắp bằng ô tô tự đổ</t>
  </si>
  <si>
    <t>Phạm vi &lt;= 300m,ô tô 5T,Đất cấp I</t>
  </si>
  <si>
    <t>Bê tông dầm chắn mái  đá 1x2 M200</t>
  </si>
  <si>
    <t>Lát máI gạch lỗ rỗng (40x40xx10)cm</t>
  </si>
  <si>
    <t>Bê tông gạch lỗ rỗng  đá 1x2 M150</t>
  </si>
  <si>
    <t>Vữa xi măng M100</t>
  </si>
  <si>
    <t>Ván khuôn gạch rỗng</t>
  </si>
  <si>
    <t>Ván khuôn thép dầm chắn</t>
  </si>
  <si>
    <t>Cốt thép gạch lỗ rỗng D&lt;=10mm</t>
  </si>
  <si>
    <t>Trồng cỏ trong gạch rỗng</t>
  </si>
  <si>
    <t>Đèn chớp tín hiệu ban đêm 22V</t>
  </si>
  <si>
    <t>Dây điện</t>
  </si>
  <si>
    <t>Biển báo giao thông B302a</t>
  </si>
  <si>
    <t>Biển báo giao thông BB227 CN</t>
  </si>
  <si>
    <t>Biển báo giao thông BB442b</t>
  </si>
  <si>
    <t>Bê tông chôn cột đá 1x2 M150</t>
  </si>
  <si>
    <t>SXLĐ cọc tiêu (120x15x15)cm</t>
  </si>
  <si>
    <t>Bê tông tấm lát mái đá 1x2 M200 đổ bằng máy bơm</t>
  </si>
  <si>
    <t>Gia công cốt thép tường d&lt;=10mm, H&lt;=16m</t>
  </si>
  <si>
    <t>Lắp đặt rọ đá 2.0x1.0x0.5m dưới nước</t>
  </si>
  <si>
    <t>Trải vải địa KT dưới nước</t>
  </si>
  <si>
    <t>Ván khuôn thép  tấm lát mặt</t>
  </si>
  <si>
    <t>Sơn các loại, 2 nước</t>
  </si>
  <si>
    <t>Cốt thép  D&lt;=10mm</t>
  </si>
  <si>
    <t>Bulông M10</t>
  </si>
  <si>
    <t>Đóng cọc tràm D gốc8-10cm L=3m trên cạn</t>
  </si>
  <si>
    <t>Bê tông đổ sau đá 1x2 M250</t>
  </si>
  <si>
    <t>Đắp đất mang cống bằng đầm cóc K=0.9 (tận dụng đất đào để đắp)</t>
  </si>
  <si>
    <t>*Quan trắc lún:</t>
  </si>
  <si>
    <t>* Phân luồng giao thông:</t>
  </si>
  <si>
    <t>*Mốc quan trắc &amp; thước đo nước:</t>
  </si>
  <si>
    <t>Đơn vị: đồng</t>
  </si>
  <si>
    <t>Số TT</t>
  </si>
  <si>
    <t>Tên công việc</t>
  </si>
  <si>
    <t>Theo hợp đồng</t>
  </si>
  <si>
    <t>Hợp đồng</t>
  </si>
  <si>
    <t>Tăng</t>
  </si>
  <si>
    <t>Giảm</t>
  </si>
  <si>
    <t>GIÁM SÁT THI CÔNG XÂY DỰNG TRỰC TIẾP</t>
  </si>
  <si>
    <t>Thực tế</t>
  </si>
  <si>
    <t>Cấu kiện</t>
  </si>
  <si>
    <t>Số hiệu</t>
  </si>
  <si>
    <t>ĐK (mm)</t>
  </si>
  <si>
    <t>Số cấu kiện</t>
  </si>
  <si>
    <t>Số thanh</t>
  </si>
  <si>
    <t>Chiều dài (m)</t>
  </si>
  <si>
    <t>Trọng lượng riêng (kg/m)</t>
  </si>
  <si>
    <t>Khối lượng (kg)</t>
  </si>
  <si>
    <t>01 CK</t>
  </si>
  <si>
    <t>Toàn bộ</t>
  </si>
  <si>
    <t>01 thanh</t>
  </si>
  <si>
    <t>1/. Tổng hợp cốt thép:</t>
  </si>
  <si>
    <t>+ Cốt thép D=6mm:</t>
  </si>
  <si>
    <t xml:space="preserve">  </t>
  </si>
  <si>
    <t>+ Cốt thép D=14mm:</t>
  </si>
  <si>
    <t>+ Thép tấm dày 6mm:</t>
  </si>
  <si>
    <t>HẠNG MỤC 1: HẠNG MỤC CHUNG</t>
  </si>
  <si>
    <t>Bảo lãnh thực hiện hợp đồng</t>
  </si>
  <si>
    <t>Khoản</t>
  </si>
  <si>
    <t>Bảo hiểm Công trình đối với phần thuộc trách nhiệm của nhà thầu</t>
  </si>
  <si>
    <t>Bảo hiểm thiết bị của nhà thầu</t>
  </si>
  <si>
    <t>Bảo hiểm trách nhiệm bên thứ ba</t>
  </si>
  <si>
    <t>Chi phí bảo hành Công trình</t>
  </si>
  <si>
    <t>Tháng</t>
  </si>
  <si>
    <t>Chi phí xây dựng nhà tạm tại hiện trường để ở và điều hành thi công</t>
  </si>
  <si>
    <t>Chi phí di chuyển thiết bị thi công và lực lượng lao động đến công trường</t>
  </si>
  <si>
    <t>Chi phí kiểm soát giao thông và bảo trì đường tránh, cầu tạm (nếu có)</t>
  </si>
  <si>
    <t>Chi phí dọn dẹp công trường khi hoàn thành</t>
  </si>
  <si>
    <t>TỔNG CHI PHÍ HẠNG MỤC CHUNG</t>
  </si>
  <si>
    <t>GIẢM GIÁ THEO THƯ GIẢM GIÁ (60%)</t>
  </si>
  <si>
    <t>CHI PHÍ HẠNG MỤC (I): HẠNG MỤC CHUNG  (SAU KHI GIẢM GIÁ)</t>
  </si>
  <si>
    <t>HẠNG MỤC 2: XÂY DỰNG CÔNG TRÌNH</t>
  </si>
  <si>
    <t>CỐNG RẠCH LỒ Ô</t>
  </si>
  <si>
    <t>Phần cống</t>
  </si>
  <si>
    <t>1/Mặt bằng công trường:</t>
  </si>
  <si>
    <t>Phát quang bằng cơ giới, mật độ &gt;5 cây/100m2</t>
  </si>
  <si>
    <t>Cây</t>
  </si>
  <si>
    <t>* Dẫn dòng:</t>
  </si>
  <si>
    <t>Đào đất đặt đường ống bằng máy đào&lt;= 0.8m3,ĐCI</t>
  </si>
  <si>
    <t>LĐ ống nhựa PVC D630mm PN5</t>
  </si>
  <si>
    <t>* Gia cố chống xói sau ống:</t>
  </si>
  <si>
    <t>Ghim sắt</t>
  </si>
  <si>
    <t>Tấn</t>
  </si>
  <si>
    <t>* Phá bỏ cầu hiện hữu:</t>
  </si>
  <si>
    <t>Cẩu cầu sắt  ra khỏi vị trí</t>
  </si>
  <si>
    <t>Đoạn</t>
  </si>
  <si>
    <t>Tháo dỡ đoạn nối nhịp</t>
  </si>
  <si>
    <t>Cái</t>
  </si>
  <si>
    <t>Tháo dở dầm ngang, gối cầu</t>
  </si>
  <si>
    <t>2/Đê quây: (thi công 3 tháng)</t>
  </si>
  <si>
    <t>* Đê quây phía đồng:</t>
  </si>
  <si>
    <t>Thép hình  Kvl=(1,17*3+3,5%)=0,0701</t>
  </si>
  <si>
    <t>Thép hình nẹp dọc  Kvl=(1,17*3+3,5%)=0,0701</t>
  </si>
  <si>
    <t>Cáp D12mm</t>
  </si>
  <si>
    <t>Bê tông cọc tiêu đúc sẵn đá 1x2 M150</t>
  </si>
  <si>
    <t>Đào phá đê quây bằng máy đào&lt;= 0.8m3,ĐCI</t>
  </si>
  <si>
    <t>* Đê quây phía sông:</t>
  </si>
  <si>
    <t>Đào móng  bằng máy đào &lt;= 0.8m3 B&lt;6m</t>
  </si>
  <si>
    <t>* Vân chuyển đất dư về cống Cả Quảng: cự  ly 22 km</t>
  </si>
  <si>
    <t xml:space="preserve">Vận chuyển đất  bằng sà lan 400T+ tàu kéo 360Cv  1km đầu </t>
  </si>
  <si>
    <t xml:space="preserve">Vận chuyển đất  bằng sà lan 400T+ tàu kéo 360C cự ly 5km tiếp theo </t>
  </si>
  <si>
    <t xml:space="preserve">Vận chuyển đất  bằng sà lan 400T+ tàu kéo 360C 14 km </t>
  </si>
  <si>
    <t>Vận chuyển đất  bằng sà lan 400T+ tàu kéo 360C cự ly 2km</t>
  </si>
  <si>
    <t>Đắp đất mang cống bằng đầm cóc K=0.9 (tận dụng đất đào hố móng để đắp)</t>
  </si>
  <si>
    <t>* Đóng cừ bản nhựa:</t>
  </si>
  <si>
    <t>Đóng cừ bản nhựa  trên cạn bằng máy đào 0,65 m3 (phần ngập đất)</t>
  </si>
  <si>
    <t>Đóng cừ bản nhựa  trên cạn bằng máy đào 0,65 m3 (phần không ngập đất)</t>
  </si>
  <si>
    <t>5/*Biện pháp thi công cọc tường chắn phía sông:</t>
  </si>
  <si>
    <t xml:space="preserve">  *Chế tạo:</t>
  </si>
  <si>
    <t>Lắp dựng cấu kiện thép đặt sẵn trong BT</t>
  </si>
  <si>
    <t>*Đóng cọc  dưới nước:</t>
  </si>
  <si>
    <t>1 Cấu
 kiện</t>
  </si>
  <si>
    <t>Đ/cọc đứng BTCT trên mặt nước, Búa&lt;=2.5T, Cọc L &lt; 24m  F=25x25cm</t>
  </si>
  <si>
    <t>Đ/cọc dẫn BTCT trên mặt nước, Búa&lt;=2.5T, Cọc L &lt; 24m  F=25x25cm</t>
  </si>
  <si>
    <t>Đóng cọc thép hình, trên mặt nước, Cọc L &lt;=10m, Đất cấp I (phần ngập đất)</t>
  </si>
  <si>
    <t>Đóng cọc thép hình, trên mặt nước, Cọc L &lt;=10m, Đất cấp I (phần không ngập đất)</t>
  </si>
  <si>
    <t>Thép hình cọc đóng (Kvl=1.17%*1+3.5%)=0,0467</t>
  </si>
  <si>
    <t>*VL làm khung giằng:</t>
  </si>
  <si>
    <t>Thép hình C20, 3 lần tháo lắp, 01 bộ, Kvl=(2%+7%*3)/1=0,23</t>
  </si>
  <si>
    <t>Thép hình C20, 2 lần tháo lắp, 01 bộ, Kvl=(2%+7%*2)/1=0,16</t>
  </si>
  <si>
    <t>Thép hình I18, 4 lần tháo lắp, 01 bộ, Kvl=(2%+7%*4)/1=0,3</t>
  </si>
  <si>
    <t>Thép hình I18, 9 lần tháo lắp,1 bộ, Kvl=(2%+7%*9)/1=0,65</t>
  </si>
  <si>
    <t>Thép hình L100x100x7, 9 lần tháo lắp,1 bộ, Kvl=(2%+7%*9)/1=0,65</t>
  </si>
  <si>
    <t>*Xây lát cống</t>
  </si>
  <si>
    <t>*Thân cống:</t>
  </si>
  <si>
    <t>Bê tông tường thẳng, Dày&gt; 45cm Cao &lt;= 16 m,vữa BT đá 1x2 M200 đổ bằng máy bơm</t>
  </si>
  <si>
    <t>Bê tông đá 1x2 lưới thép M300 đổ bằng máy bơm</t>
  </si>
  <si>
    <t>*Tường cánh:</t>
  </si>
  <si>
    <t>Bê tông tường thẳng, Dày&gt; 45cm Cao &lt;= 16 m, vữa BT đá 1x2 M300 đổ bằng máy bơm</t>
  </si>
  <si>
    <t>Làm khớp nối bằng tấm nhựa PVC</t>
  </si>
  <si>
    <t>Gia công cốt thép bản đáy d&lt;=10mm</t>
  </si>
  <si>
    <t>* Bản dẫn:</t>
  </si>
  <si>
    <t>Bao tải tẩm nhựa đường</t>
  </si>
  <si>
    <t>* Đường dẫn vào cầu:</t>
  </si>
  <si>
    <t>Làm mặt đường láng nhựa 3 lớp dày 3.5cm, Tiêu chuẩn nhựa 4.5kg/m2</t>
  </si>
  <si>
    <t>Tưới lớp dính bám m.đường=nhựa pha dầu, Lượng nhựa 1.0kg/m2</t>
  </si>
  <si>
    <t>Trải đá cấp phối đá dăm loại 1</t>
  </si>
  <si>
    <t>Trải đá cấp phối 0-4 loại II</t>
  </si>
  <si>
    <t>Đắp cát bằng máy đầm 9T K=0.98</t>
  </si>
  <si>
    <t>Đánh sờm đường hiện hữu</t>
  </si>
  <si>
    <t>* Tường chắn:</t>
  </si>
  <si>
    <t>Bê tông tường chắn sóng đá 1x2 M200</t>
  </si>
  <si>
    <t>*Gia cố mái taluy:</t>
  </si>
  <si>
    <t>*Tường hộ lạn can mềm:</t>
  </si>
  <si>
    <t>Lắp đặt dãI phân cách</t>
  </si>
  <si>
    <t>1 tấm</t>
  </si>
  <si>
    <t xml:space="preserve">   -Tấm sóng (3000x310x3)mm</t>
  </si>
  <si>
    <t>Tấm</t>
  </si>
  <si>
    <t xml:space="preserve">   -Cột U160x160x5x1750mm</t>
  </si>
  <si>
    <t xml:space="preserve">   -Đệm U160x160x5x360mm</t>
  </si>
  <si>
    <t xml:space="preserve">   -Tấm đầu cong</t>
  </si>
  <si>
    <t xml:space="preserve">   -Bu lông M20x360</t>
  </si>
  <si>
    <t>Bộ</t>
  </si>
  <si>
    <t xml:space="preserve">   - Bu lông M16x36</t>
  </si>
  <si>
    <t>Gắn viên phản quang</t>
  </si>
  <si>
    <t>Viên</t>
  </si>
  <si>
    <t>*Thước đo nước:</t>
  </si>
  <si>
    <t>1 Tấn</t>
  </si>
  <si>
    <t>*Tấm lát, rọ đá , thảm đá:</t>
  </si>
  <si>
    <t>1 thảm</t>
  </si>
  <si>
    <t xml:space="preserve">Ván khuôn </t>
  </si>
  <si>
    <t>Phần cửa van</t>
  </si>
  <si>
    <t>*Phần chế tạo, vận chuyển</t>
  </si>
  <si>
    <t xml:space="preserve">Cánh Cửa </t>
  </si>
  <si>
    <t xml:space="preserve">Cụm neo khung                 </t>
  </si>
  <si>
    <t>Hộp bao che</t>
  </si>
  <si>
    <t xml:space="preserve">Khe cửa </t>
  </si>
  <si>
    <t xml:space="preserve">Khe phai </t>
  </si>
  <si>
    <t>Vận chuyển cửa van</t>
  </si>
  <si>
    <t>Toàn bộ</t>
  </si>
  <si>
    <t>*Phần lắp đặt</t>
  </si>
  <si>
    <t>*Thiết bị chế tạo</t>
  </si>
  <si>
    <t>CỐNG RẠCH MIỄU</t>
  </si>
  <si>
    <t>*Phá bỏ cầu hiện hữu:</t>
  </si>
  <si>
    <t>Đoạn</t>
  </si>
  <si>
    <t>2/ Đê quây: (thi công 3 tháng)</t>
  </si>
  <si>
    <t>3/Biện pháp thi công cọc tường chắn phía sông:</t>
  </si>
  <si>
    <t>*Chế tạo:</t>
  </si>
  <si>
    <t>1 Cấu 
kiện</t>
  </si>
  <si>
    <t>*Khung định vị đóng cọc:</t>
  </si>
  <si>
    <t>Thép hình I18, 8 lần tháo lắp,1 bộ, Kvl=(2%+7%*8)/1=0,58</t>
  </si>
  <si>
    <t>Thép hình L100x100x7, 8 lần tháo lắp,1 bộ, Kvl=(2%+7%*8)/1=0,58</t>
  </si>
  <si>
    <t>4/Đào móng cống, đắp mang cống:</t>
  </si>
  <si>
    <t>Bóc lớp hữu cơ bằng cơ giới</t>
  </si>
  <si>
    <t>*Vân chuyển đất dư về cống Cả Quảng: cự  ly  22 km</t>
  </si>
  <si>
    <t>Trải vải địa KT trên cạn</t>
  </si>
  <si>
    <t>*Xây lát cống:</t>
  </si>
  <si>
    <t>Gia công cốt thép tường d&lt;=10mm, H&lt;=4m</t>
  </si>
  <si>
    <t>Gia công cốt thép tường d&lt;=18mm, H&lt;=4m</t>
  </si>
  <si>
    <t>* Tường chắn số 3, 4:</t>
  </si>
  <si>
    <t>* Gia cố mái taluy:</t>
  </si>
  <si>
    <t>Bê tông tường thẳng, Dày&gt; 45cm Cao &lt;= 16 m, vữa BT đá 1x2 M200, đổ bằng máy bơm</t>
  </si>
  <si>
    <t>1 rọ</t>
  </si>
  <si>
    <t>Đóng cọc tràm D gốc8-10cm  L=4,5m dưới nước</t>
  </si>
  <si>
    <t>- Tường hộ lạn can mềm:</t>
  </si>
  <si>
    <t>bộ</t>
  </si>
  <si>
    <t>cái</t>
  </si>
  <si>
    <r>
      <t xml:space="preserve">+ Chi phí dự phòng trượt giá: </t>
    </r>
    <r>
      <rPr>
        <b/>
        <sz val="14"/>
        <color indexed="8"/>
        <rFont val="Times New Roman"/>
        <family val="1"/>
      </rPr>
      <t xml:space="preserve"> 916.516.273</t>
    </r>
    <r>
      <rPr>
        <sz val="14"/>
        <color indexed="8"/>
        <rFont val="Times New Roman"/>
        <family val="1"/>
      </rPr>
      <t xml:space="preserve"> </t>
    </r>
    <r>
      <rPr>
        <b/>
        <sz val="14"/>
        <color indexed="8"/>
        <rFont val="Times New Roman"/>
        <family val="1"/>
      </rPr>
      <t>đồng.</t>
    </r>
  </si>
  <si>
    <r>
      <t xml:space="preserve">+ Chi phí dự phòng cho khối lượng phát sinh: </t>
    </r>
    <r>
      <rPr>
        <b/>
        <sz val="14"/>
        <color indexed="8"/>
        <rFont val="Times New Roman"/>
        <family val="1"/>
      </rPr>
      <t>916.516.273</t>
    </r>
    <r>
      <rPr>
        <sz val="14"/>
        <color indexed="8"/>
        <rFont val="Times New Roman"/>
        <family val="1"/>
      </rPr>
      <t xml:space="preserve"> </t>
    </r>
    <r>
      <rPr>
        <b/>
        <sz val="14"/>
        <color indexed="8"/>
        <rFont val="Times New Roman"/>
        <family val="1"/>
      </rPr>
      <t>đồng</t>
    </r>
  </si>
  <si>
    <r>
      <t>- Hạng mục 3: Chi phí dự phòng:</t>
    </r>
    <r>
      <rPr>
        <b/>
        <sz val="13"/>
        <color indexed="8"/>
        <rFont val="Arial"/>
        <family val="2"/>
      </rPr>
      <t xml:space="preserve">  </t>
    </r>
    <r>
      <rPr>
        <b/>
        <sz val="14"/>
        <color indexed="8"/>
        <rFont val="Times New Roman"/>
        <family val="1"/>
      </rPr>
      <t>1.833.032.546 đồng</t>
    </r>
  </si>
  <si>
    <r>
      <t xml:space="preserve">- Hạng mục 2: Xây dựng công trình: </t>
    </r>
    <r>
      <rPr>
        <b/>
        <sz val="14"/>
        <color indexed="8"/>
        <rFont val="Times New Roman"/>
        <family val="1"/>
      </rPr>
      <t>19.026.610.612</t>
    </r>
    <r>
      <rPr>
        <b/>
        <sz val="13"/>
        <color indexed="8"/>
        <rFont val="Arial"/>
        <family val="2"/>
      </rPr>
      <t xml:space="preserve"> </t>
    </r>
    <r>
      <rPr>
        <b/>
        <sz val="14"/>
        <color indexed="8"/>
        <rFont val="Times New Roman"/>
        <family val="1"/>
      </rPr>
      <t>đồng</t>
    </r>
  </si>
  <si>
    <r>
      <t xml:space="preserve">- Hạng mục 1: Hạng mục chung: </t>
    </r>
    <r>
      <rPr>
        <b/>
        <sz val="14"/>
        <color indexed="8"/>
        <rFont val="Times New Roman"/>
        <family val="1"/>
      </rPr>
      <t>198.000.000</t>
    </r>
    <r>
      <rPr>
        <sz val="14"/>
        <color indexed="8"/>
        <rFont val="Times New Roman"/>
        <family val="1"/>
      </rPr>
      <t xml:space="preserve"> </t>
    </r>
    <r>
      <rPr>
        <b/>
        <sz val="14"/>
        <color indexed="8"/>
        <rFont val="Times New Roman"/>
        <family val="1"/>
      </rPr>
      <t>đồng</t>
    </r>
  </si>
  <si>
    <r>
      <t xml:space="preserve">6.6. Giá trị hợp đồng thương thảo: </t>
    </r>
    <r>
      <rPr>
        <b/>
        <sz val="14"/>
        <color indexed="8"/>
        <rFont val="Times New Roman"/>
        <family val="1"/>
      </rPr>
      <t>đồng</t>
    </r>
    <r>
      <rPr>
        <sz val="14"/>
        <color indexed="8"/>
        <rFont val="Times New Roman"/>
        <family val="1"/>
      </rPr>
      <t>, cụ thể:</t>
    </r>
  </si>
  <si>
    <t xml:space="preserve">     CTY TNHH XD CHẤN HƯNG</t>
  </si>
  <si>
    <t>CTY TNHH XD &amp; TM QUỐC DŨNG</t>
  </si>
  <si>
    <t>BAN QUẢN LÝ DỰ ÁN ĐTXD CÁC CÔNG TRÌNH
NÔNG NGHIỆP &amp; PTNT TỈNH BẾN TRE</t>
  </si>
  <si>
    <t>ĐẠI DIỆN BÊN B</t>
  </si>
  <si>
    <t>ĐẠI DIỆN BÊN A</t>
  </si>
  <si>
    <t>TỶ LỆ %</t>
  </si>
  <si>
    <t>CÒN LẠI (LÀM  TRÒN)</t>
  </si>
  <si>
    <t>GIẢM 1,00%</t>
  </si>
  <si>
    <t>TỔNG CỘNG (I+II+III)</t>
  </si>
  <si>
    <t>Chi phí dự phòng trượt giá: B2=4,539%*A</t>
  </si>
  <si>
    <t>Chi phí dự phòng cho khối lượng phát sinh: B1=4,539%*A</t>
  </si>
  <si>
    <t>CHI PHÍ DỰ PHÒNG (B1+B2)</t>
  </si>
  <si>
    <t>CHI PHÍ HẠNG MỤC (II) : XÂY DỰNG CÔNG TRÌNH (SAU KHI GIẢM GIÁ)</t>
  </si>
  <si>
    <t>GIẢM GIÁ THEO THƯ GIẢM GIÁ (3,40366%)</t>
  </si>
  <si>
    <t>TỔNG CHI PHÍ HẠNG MỤC : XÂY DỰNG CÔNG TRÌNH</t>
  </si>
  <si>
    <t>Tấm cao su (3x5)cm</t>
  </si>
  <si>
    <t>Chốt cửa Þ12 dài 5cm</t>
  </si>
  <si>
    <t>Lắp dựng, tháo dỡ kết cấu thép hệ khung dàn, sàn đạo Trên cạn</t>
  </si>
  <si>
    <t>Bu lông M12</t>
  </si>
  <si>
    <t>Bu lông M10</t>
  </si>
  <si>
    <t>Thép ống không gỉ Þ30mm</t>
  </si>
  <si>
    <t>Thép tấm inox</t>
  </si>
  <si>
    <t>Sản xuất hệ khung dàn</t>
  </si>
  <si>
    <t>M3</t>
  </si>
  <si>
    <t>Sản xuất lắp dựng gỗ cửa cống</t>
  </si>
  <si>
    <t>Sản xuất lắp dựng cốt thép cột, trụ cao &lt;=4m, đường kính cốt thép &lt;= 18mm</t>
  </si>
  <si>
    <t>Sản xuất lắp dựng cốt thép cột, trụ cao &lt;=4m, đường kính cốt thép &lt;=10mm</t>
  </si>
  <si>
    <t>100M2</t>
  </si>
  <si>
    <t>SXLD, tháo dỡ ván khuôn thép, cây chống gỗ cho bê tông đổ tại chỗ Tường, cột vuông, chữ nhật, xà dầm, giằng, cao &lt;=16m</t>
  </si>
  <si>
    <t>Bê tông cột, tiết diện &lt;= 0,1m2, cao &lt;= 4m, đá 1x2 Mác 200</t>
  </si>
  <si>
    <t>Làm cọc tiêu bê tông cốt thép</t>
  </si>
  <si>
    <t>Đá hộc</t>
  </si>
  <si>
    <t>Thảm</t>
  </si>
  <si>
    <t>Làm và thả rọ đá loại rọ 2x1x0,3m dưới nước</t>
  </si>
  <si>
    <t>Rải vải địa kỹ thuật làm mái đê</t>
  </si>
  <si>
    <t>Mối nối</t>
  </si>
  <si>
    <t>Nối ống bê tông bằng gioăng cao su, đường kính ống 1000 mm</t>
  </si>
  <si>
    <t>Lắp đặt ống bê tông bằng cần trục, đoạn ống dài 3m, đường kính ống &lt;=1000mm</t>
  </si>
  <si>
    <t>SXLD, tháo dỡ ván khuôn gỗ cho bê tông đổ tại chỗ cầu thang thường</t>
  </si>
  <si>
    <t>Bê tông cầu thang đá 1x2 M150</t>
  </si>
  <si>
    <t>Sản xuất lắp dựng cốt thép tường, cao &lt;=4m đường kính cốt thép &lt;= 18mm</t>
  </si>
  <si>
    <t>Sản xuất lắp dựng ván khuôn gỗ, tường thẳng</t>
  </si>
  <si>
    <t>Bê tông tường dày &lt;=45cm, cao &lt;=4m, đá 1x2 Mác 200</t>
  </si>
  <si>
    <t>Sản xuất lắp dựng cốt thép móng, đường kính cốt thép &lt;= 18mm</t>
  </si>
  <si>
    <t>SXLD, tháo dỡ ván khuôn gỗ cho bê tông đổ tại chỗ móng dài</t>
  </si>
  <si>
    <t>Bê tông móng, rộng &lt;=250cm, đá 1x2 Mác 200</t>
  </si>
  <si>
    <t>Bê tông lót móng, chiều rộng &lt;=250cm, đá 1x2 Mác 150</t>
  </si>
  <si>
    <t>Cát lót dày 5 cm</t>
  </si>
  <si>
    <t>100M</t>
  </si>
  <si>
    <t>Đóng cọc gỗ (hoặc cọc tràm) đ.kính 8-10cm, chiều dài cọc &gt;2,5m Vào đất cấp I</t>
  </si>
  <si>
    <t>Đắp đất K=0,90</t>
  </si>
  <si>
    <t>Đào xúc đất để đắp hoặc ra bãi thải, bãi tập kết bằng máy đào, Máy &lt;= 0,8m3, đất cấp I</t>
  </si>
  <si>
    <t>Phá vỡ đê quay</t>
  </si>
  <si>
    <t xml:space="preserve">Nhổ cọc cừ tràm </t>
  </si>
  <si>
    <t>Đào đất đắp đê quay</t>
  </si>
  <si>
    <t>Lớp vải bạt gia cố</t>
  </si>
  <si>
    <t>Thép neo Ø8 a 100</t>
  </si>
  <si>
    <t>Bê tông lót móng, chiều rộng &gt;250cm, đá 4x6 Mác 100</t>
  </si>
  <si>
    <t>CỐNG SÁU HÓA</t>
  </si>
  <si>
    <t>Làm móng lớp dưới bằng cấp phối đá dăm Đường làm mới</t>
  </si>
  <si>
    <t>Phá dỡ bê tông có cốt thép bằng máy khoan bê tông</t>
  </si>
  <si>
    <t>CỐNG LIÊN ẤP</t>
  </si>
  <si>
    <t>CỐNG SÁU EM</t>
  </si>
  <si>
    <t>CỐNG BẢY NHẬT</t>
  </si>
  <si>
    <t>Nối ống bê tông bằng gioăng cao su, đường kính ống 1500 mm</t>
  </si>
  <si>
    <t>Lắp đặt ống bê tông bằng cần trục, đoạn ống dài 3m, đường kính ống &lt;=1500mm</t>
  </si>
  <si>
    <t>Đắp đất K=0,90</t>
  </si>
  <si>
    <t>CỐNG VÀM HỒ</t>
  </si>
  <si>
    <t>1 Thảm</t>
  </si>
  <si>
    <t>*Tấm lát, rọ đá, thảm đá:</t>
  </si>
  <si>
    <t xml:space="preserve"> Phân luồng giao thông:</t>
  </si>
  <si>
    <t>Đào cát bằng máy đào&lt;= 0.8m3,ĐCI</t>
  </si>
  <si>
    <t>Phá đá bằng búa căn, đá cấp 4</t>
  </si>
  <si>
    <t>Tưới lớp dính bám m.đường=nhựa pha dầu Lượng nhựa 1.0kg/m2</t>
  </si>
  <si>
    <t>Làm mặt đường láng nhựa 3 lớp dày 3.5cm Tiêu chuẩn nhựa 4.5kg/m2</t>
  </si>
  <si>
    <t>*Bản dẫn:</t>
  </si>
  <si>
    <t xml:space="preserve">Bê tông tường thẳng, Dày&gt; 45cm Cao &lt;= 16 m,vữa BT đá 1x2 M300 đổ bằng máy bơm </t>
  </si>
  <si>
    <t>Xây lát cống:</t>
  </si>
  <si>
    <t>Thép hình L100x100x7 11 lần tháo lắp ,1 bộ, Kvl=(2%+7%*11)/1=0,79</t>
  </si>
  <si>
    <t>Thép hình I18 11 lần tháo lắp ,1 bộ, Kvl=(2%+7%*11)/1=0,79</t>
  </si>
  <si>
    <t>Thép hình I18 4 lần tháo lắp , 01 bộ, Kvl=(2%+7%*4)/1=0,3</t>
  </si>
  <si>
    <t>Thép hình C20 4 lần tháo lắp , 01 bộ, Kvl=(2%+7%*4)/1=0,3</t>
  </si>
  <si>
    <t>Thép hình cọc đóng, (Kvl=1.17%*1+3.5%)=0,0467</t>
  </si>
  <si>
    <t>4/Biện pháp thi công cọc tường chắn phía sông:</t>
  </si>
  <si>
    <t>Đắp đất mang cống bằng đầm cóc K=0.9, (tận dụng đất đào hố móng để đắp)</t>
  </si>
  <si>
    <t xml:space="preserve">Vận chuyển đất  bằng sà lan 400T+ tàu kéo 360C 12 km </t>
  </si>
  <si>
    <t>*Vân chuyển đất dư về cống Cả Quảng: cự ly 18 km</t>
  </si>
  <si>
    <t>3/Đào móng cống, đắp mang cống:</t>
  </si>
  <si>
    <t>Đắp bao tải đất thả dưới nước (35bao /m3)</t>
  </si>
  <si>
    <t xml:space="preserve">Đoạn </t>
  </si>
  <si>
    <t>CỐNG RẠCH TRÔM</t>
  </si>
  <si>
    <t>Bê tông mốc chuẩn đá 1x2 M150</t>
  </si>
  <si>
    <t>Mốc đồng</t>
  </si>
  <si>
    <t>1  m³</t>
  </si>
  <si>
    <t>*Cọc tiêu:</t>
  </si>
  <si>
    <t>* Tường hộ lạn can mềm:</t>
  </si>
  <si>
    <t>- Gia cố mái taluy:</t>
  </si>
  <si>
    <t>Tiêu chuẩn nhựa 4.5kg/m2</t>
  </si>
  <si>
    <t>Làm mặt đường láng nhựa 3 lớp dày 3.5cm</t>
  </si>
  <si>
    <t>Bê tông tường thẳng, Dày&gt; 45cm Cao &lt;= 16 m,vữa BT đá 1x2 M300, đổ bằng máy bơm</t>
  </si>
  <si>
    <t>**Thân cống:</t>
  </si>
  <si>
    <t>*Xây lát cống:</t>
  </si>
  <si>
    <t>Đóng cừ bản nhựa  trờn cạn bằng mỏy đào 0,65 m3 (phần khụng ngập đất)</t>
  </si>
  <si>
    <t>Vận chuyển đất  bằng sà lan 400T+ tàu kéo 360C cự ly 1 km</t>
  </si>
  <si>
    <t>*Vân chuyển đất dư về cống Cả Quảng: cự  ly 21 km</t>
  </si>
  <si>
    <t>CỐNG RẠCH KINH</t>
  </si>
  <si>
    <t>Công ty TNHH XD Chấn Hưng</t>
  </si>
  <si>
    <t>Công ty TNHH XD&amp;TM Quốc Dũng</t>
  </si>
  <si>
    <t>Đơn giá
hợp đồng
(đồng)</t>
  </si>
  <si>
    <t>Khối lượng hợp đồng</t>
  </si>
  <si>
    <t>Dự án: Hệ thống Thủy lợi Bắc Bến Tre giai đoạn 1, tỉnh Bến Tre.</t>
  </si>
  <si>
    <t>Gói thầu: Xây dựng, lắp đặt thiết bị cống Rạch Lồ Ô, Rạch Miễu, Rạch Kinh, Rạch Trôm, Vàm Hồ, Bảy Nhật, Sáu Em, Liên Ấp và Sáu Hóa/XL04.</t>
  </si>
  <si>
    <t>PHỤ LỤC 1: KHỐI LƯỢNG VÀ GIÁ TRỊ HỢP ĐỒNG</t>
  </si>
  <si>
    <t>BẢNG TÍNH CỐT THÉP CỌC TƯỜNG CHẮN</t>
  </si>
  <si>
    <t>CỌC TƯỜNG CHẮN</t>
  </si>
  <si>
    <t>(Cống Lồ Ồ)</t>
  </si>
  <si>
    <t>+ Cốt thép D=16mm:</t>
  </si>
  <si>
    <t>+ Cốt thép D=18mm:</t>
  </si>
  <si>
    <t>(Cống Rạch Miễu)</t>
  </si>
  <si>
    <t>Lê Văn Lộc</t>
  </si>
  <si>
    <t>δ=6</t>
  </si>
  <si>
    <t>Hồ Phước Hải</t>
  </si>
  <si>
    <t>KỸ THUẬT TC XD TRỰC TIẾP</t>
  </si>
  <si>
    <t>BẢNG TÍNH CỐT THÉP</t>
  </si>
  <si>
    <t>TẤM M</t>
  </si>
  <si>
    <t>kg/cây</t>
  </si>
  <si>
    <t>TẤM M1</t>
  </si>
  <si>
    <t>+ Cốt thép D=10mm:</t>
  </si>
  <si>
    <t>BẢN ĐÁY TƯỜNG CÁNH</t>
  </si>
  <si>
    <t>+ Cốt thép D=12mm:</t>
  </si>
  <si>
    <t>MẶT CẦU</t>
  </si>
  <si>
    <t>Lưới thép</t>
  </si>
  <si>
    <t>TƯỜNG CỐNG</t>
  </si>
  <si>
    <t>23a</t>
  </si>
  <si>
    <t>39a</t>
  </si>
  <si>
    <t>54a</t>
  </si>
  <si>
    <t>Tường cừ</t>
  </si>
  <si>
    <t>BẢN ĐÁY</t>
  </si>
  <si>
    <t>7a</t>
  </si>
  <si>
    <t>7b</t>
  </si>
  <si>
    <t>7c</t>
  </si>
  <si>
    <t>10a</t>
  </si>
  <si>
    <t>12a</t>
  </si>
  <si>
    <t>12b</t>
  </si>
  <si>
    <t>13a</t>
  </si>
  <si>
    <t>tính 1 bên??</t>
  </si>
  <si>
    <t xml:space="preserve"> + 4 cây lớp trên</t>
  </si>
  <si>
    <t>(Kèm theo biên bản nghiệm thu công việc xây dựng số:        )</t>
  </si>
  <si>
    <t>Tên mặt cắt</t>
  </si>
  <si>
    <t>Diện tích đào (m2)</t>
  </si>
  <si>
    <t>Khoảng cách (m)</t>
  </si>
  <si>
    <t>Khối lượng đào (m3)</t>
  </si>
  <si>
    <t>Khoảng cách</t>
  </si>
  <si>
    <t>Th/kế</t>
  </si>
  <si>
    <t>Th/tế</t>
  </si>
  <si>
    <t>Ngh/thu</t>
  </si>
  <si>
    <t>Tính toán</t>
  </si>
  <si>
    <t>CỘNG</t>
  </si>
  <si>
    <t>1-1</t>
  </si>
  <si>
    <t>2-2</t>
  </si>
  <si>
    <t>3-3</t>
  </si>
  <si>
    <t>4-4</t>
  </si>
  <si>
    <t>5-5</t>
  </si>
  <si>
    <t>KỸ THUẬT THI CÔNG TRỰC TIẾP</t>
  </si>
  <si>
    <t>GIÁM SÁT KỸ THUẬT</t>
  </si>
  <si>
    <t>BẢNG TÍNH KHỐI LƯỢNG ĐÀO ĐẤT ỐNG DẪN DÒNG</t>
  </si>
  <si>
    <t>BẢNG TÍNH CỐT THÉP BẢN ĐÁY CỐNG</t>
  </si>
  <si>
    <t>Phan Văn Khánh</t>
  </si>
  <si>
    <t>10b</t>
  </si>
  <si>
    <t>10c</t>
  </si>
  <si>
    <t>10d</t>
  </si>
  <si>
    <t>10e</t>
  </si>
  <si>
    <t>Bảng tính cốt thép bản đáy cống (thép d=18mm)/1000</t>
  </si>
  <si>
    <t>Bảng tính cốt thép bản đáy cống (thép d=12mm)/1000</t>
  </si>
  <si>
    <t>BẢNG TÍNH CỐT THÉP TƯỜNG CỐNG</t>
  </si>
  <si>
    <t>22a</t>
  </si>
  <si>
    <t>22b</t>
  </si>
  <si>
    <t>27a</t>
  </si>
  <si>
    <t>27b</t>
  </si>
  <si>
    <t>39b</t>
  </si>
  <si>
    <t>50a</t>
  </si>
  <si>
    <t>50b</t>
  </si>
  <si>
    <t>TƯỜNG CỪ</t>
  </si>
  <si>
    <t>Bảng tính cốt thép bản đáy cống (thép d=16mm)/1000</t>
  </si>
  <si>
    <t>BẢNG TÍNH CỐT THÉP TƯỜNG CHẮN</t>
  </si>
  <si>
    <t>TƯỜNG CÁNH</t>
  </si>
  <si>
    <t>thép Bản đáy cống và tường cống (xem lại)</t>
  </si>
  <si>
    <t>sắt + bê tông tường chắn phía sông cống cầu Miễu (-1,70 vs -2,00)</t>
  </si>
  <si>
    <t>Mốc đồng N</t>
  </si>
  <si>
    <t>Cừ tràm tại vị trí cọc bê tông</t>
  </si>
  <si>
    <t>BẢNG XÁC ĐỊNH KHỐI LƯỢNG BỔ SUNG</t>
  </si>
  <si>
    <t>Đơn vị</t>
  </si>
  <si>
    <t>Dự toán</t>
  </si>
  <si>
    <t>Chênh lệch</t>
  </si>
  <si>
    <t>ống thoát nước tường cống</t>
  </si>
  <si>
    <t>Nguyễn Phạm Hoài Linh</t>
  </si>
  <si>
    <t>58a</t>
  </si>
  <si>
    <t>43a</t>
  </si>
  <si>
    <t>phía đồng</t>
  </si>
  <si>
    <t>phía sông</t>
  </si>
  <si>
    <t>BẢNG TÍNH CỐT THÉP BẢN ĐÁY TƯỜNG CÁNH CỐNG RẠCH LỒ Ô</t>
  </si>
  <si>
    <t>BẢNG TÍNH CỐT THÉP BẢN ĐÁY TƯỜNG CÁNH PHÍA ĐỒNG CỐNG RẠCH LỒ Ô</t>
  </si>
  <si>
    <t>BẢN ĐÁY  PHÍA ĐỒNG</t>
  </si>
  <si>
    <t>BẢNG TÍNH CỐT THÉP TƯỜNG CỐNG RẠCH LỒ Ô</t>
  </si>
  <si>
    <t>TƯỜNG PHÍA ĐỒNG</t>
  </si>
  <si>
    <t>BẢNG TÍNH CỐT THÉP BẢN ĐÁY TƯỜNG CÁNH  CỐNG RẠCH LỒ Ô</t>
  </si>
  <si>
    <t>BẢN ĐÁY  PHÍA SÔNG</t>
  </si>
  <si>
    <t>TƯỜNG CÁNH PHÍA SÔNG</t>
  </si>
  <si>
    <t>số lượng cừ bản nhựa cống Lồ Ô thiếu 2 thanh cừ 6m</t>
  </si>
  <si>
    <t>BẢNG TÍNH CỐT THÉP MẶT CẦU CỐNG RẠCH LỒ Ô</t>
  </si>
  <si>
    <t>(10 cây*6m/cây + 24 cây*3,75m)/100</t>
  </si>
  <si>
    <t>24 cây *2,25m/100</t>
  </si>
  <si>
    <t>BẢNG TÍNH CỐT THÉP MẶT CẦU CỐNG  RẠCH MIỄU</t>
  </si>
  <si>
    <t>3m*1,8m*0,4m*2 bên</t>
  </si>
  <si>
    <t>Thiếu khối lượng bê tông bản đáy tường chắn rạch miễu</t>
  </si>
  <si>
    <t>(3m*1,8m)*2bên*25cây/m2*4,5m/cây/100</t>
  </si>
  <si>
    <t>thiếu cừ tràm tường cánh cầu Miễu</t>
  </si>
  <si>
    <t>BẢNG TÍNH CỐT THÉP ĐÁY TƯỜNG CÁNH</t>
  </si>
  <si>
    <t>Thiếu lan can cầu</t>
  </si>
  <si>
    <t>Vải địa kỹ thuật gia cố mái</t>
  </si>
  <si>
    <t>thiếu cừ tràm rọ đá cống lồ ồ, cầu miễu</t>
  </si>
  <si>
    <t xml:space="preserve"> Căn cứ xác định: </t>
  </si>
  <si>
    <t>Khối lượng theo hợp đồng ban đầu</t>
  </si>
  <si>
    <t>Theo hợp đồng ban đầu</t>
  </si>
  <si>
    <t>ống thoát nước mái cống</t>
  </si>
  <si>
    <t>BẢNG TÍNH KHỐI LƯỢNG TĂNG GIẢM</t>
  </si>
  <si>
    <t>Diễn giải KL thực tế</t>
  </si>
  <si>
    <t>Phát sinh</t>
  </si>
  <si>
    <t>Cống Rạch Lồ Ô</t>
  </si>
  <si>
    <t>Cống Rạch Miễu</t>
  </si>
  <si>
    <t>STT theo HĐ</t>
  </si>
  <si>
    <t>Bảng tính khối lượng thép tường cống</t>
  </si>
  <si>
    <t xml:space="preserve"> </t>
  </si>
  <si>
    <t>1 bộ</t>
  </si>
  <si>
    <t>đáy phía đồng</t>
  </si>
  <si>
    <t>đáy phia sông</t>
  </si>
  <si>
    <t>(2,5m*3m*0,3m+1,7m*2,5m/2*0,3m +2,5m*0,8m*0,3m)*2 bên</t>
  </si>
  <si>
    <t>theo bản vẽ điều chỉnh</t>
  </si>
  <si>
    <t>Dự toán thiếu</t>
  </si>
  <si>
    <t>BẢNG TÍNH CỐT THÉP TƯỜNG CÁNH</t>
  </si>
  <si>
    <t>Tường cánh</t>
  </si>
  <si>
    <t>Đáy tường cánh</t>
  </si>
  <si>
    <t>chiều cao tường thiếu 0,3m (từ -1,70 sang -2,00)</t>
  </si>
  <si>
    <t>Bảng tính cốt thép tường cánh (thép d=12mm)/1000</t>
  </si>
  <si>
    <t>Bảng tính cốt thép tường cánh (thép d=16mm)/1000</t>
  </si>
  <si>
    <t>Bảng tính cốt thép tường cánh (thép d=18mm)/1000</t>
  </si>
  <si>
    <t>Bảng tính cốt thép tường cánh cống (thép d=10mm)/1000</t>
  </si>
  <si>
    <t xml:space="preserve">((5,5m*(1,3+3,6)m/2 + 1,5m*3,6m)*2mặt + 1,3m*0,3m)*2bên </t>
  </si>
  <si>
    <t>((2,5m*3m+1,7m*2,5m/2 +2,5m*0,8m)*2mặt+0,8m*0,3m)*2 bên</t>
  </si>
  <si>
    <t>(6,61m*0,92m+1,117m*1m+2,11m*0,46m)*25cây/m2*4,5m/cây *2bên/100</t>
  </si>
  <si>
    <t>dự toán tính thiếu</t>
  </si>
  <si>
    <t>= tổng khối lượng mục số TT (96;97)*1,025 (hệ số hao hụt khi trộn BT)</t>
  </si>
  <si>
    <t xml:space="preserve">(5,65m*(1,3+3,6)m/2*0,3m + 0,3m*1,35m*3,6m)*2bên </t>
  </si>
  <si>
    <t>(6,65m*(0,3+2,07)m/2*0,3m + 2,11m*0,51m*0,4m + 0,15m*0,15m/2*6,65m)*2bên</t>
  </si>
  <si>
    <t>Dự toán tính thiếu</t>
  </si>
  <si>
    <t>Phát sinh trong hợp đồng</t>
  </si>
  <si>
    <t>Phát sinh ngoài hợp đồng</t>
  </si>
  <si>
    <t>12 thanh*0,8m/thanh* 4,834kg/m*2bên/1000</t>
  </si>
  <si>
    <t>14 thanh*0,8m/thanh* 4,834kg/m*2bên/1000</t>
  </si>
  <si>
    <t>12 rọ/bên*2bên</t>
  </si>
  <si>
    <t>(13m+6,5m)*2 bên*8cây/md/hàng *3hàng*4,5m/cây/100</t>
  </si>
  <si>
    <t>(13m+2m)*2 bên*8cây/md/hàng *3hàng*4,5m/cây/100</t>
  </si>
  <si>
    <t>Lan can cầu</t>
  </si>
  <si>
    <t>toàn bộ</t>
  </si>
  <si>
    <t>PHẦN PHÁT SINH GIẢM</t>
  </si>
  <si>
    <t>PHẦN PHÁT SINH TĂNG</t>
  </si>
  <si>
    <t>Thép tường cống liên kết bản dẫn Ø28</t>
  </si>
  <si>
    <t>Dự toán không tính</t>
  </si>
  <si>
    <t>S
T
T</t>
  </si>
  <si>
    <t>Mô tả công việc</t>
  </si>
  <si>
    <t>Đơn vị 
tính</t>
  </si>
  <si>
    <t>TỶ TRỌNG (%)</t>
  </si>
  <si>
    <t>TỔNG</t>
  </si>
  <si>
    <t xml:space="preserve">a
</t>
  </si>
  <si>
    <t>b
(NC)</t>
  </si>
  <si>
    <t>c
(MTC)</t>
  </si>
  <si>
    <t>d
(VL)</t>
  </si>
  <si>
    <t>IV</t>
  </si>
  <si>
    <t>V</t>
  </si>
  <si>
    <t>VI</t>
  </si>
  <si>
    <t>VII</t>
  </si>
  <si>
    <t>VIII</t>
  </si>
  <si>
    <t>IX</t>
  </si>
  <si>
    <t xml:space="preserve">Cánh Cửa  </t>
  </si>
  <si>
    <t>Tôn 6mm- SUS 304</t>
  </si>
  <si>
    <t>Tôn 8mm- SUS 304</t>
  </si>
  <si>
    <t>Tôn 10mm- SUS 304</t>
  </si>
  <si>
    <t>Tôn 12mm- SUS 304</t>
  </si>
  <si>
    <t>Thép tròn Þ36 -  20X13</t>
  </si>
  <si>
    <t>Thép ống Þ50 -  20X13</t>
  </si>
  <si>
    <t>Cao su lá 10mm có lót bố</t>
  </si>
  <si>
    <t>m²</t>
  </si>
  <si>
    <t>Vít chìm M14x40 - Inox</t>
  </si>
  <si>
    <t>con</t>
  </si>
  <si>
    <t>Đai ốc câm M14 - Inox</t>
  </si>
  <si>
    <t>Bulông M24x100 - Inox</t>
  </si>
  <si>
    <t>Đai ốc M24 Inox</t>
  </si>
  <si>
    <t>ĐệmM24 Inox</t>
  </si>
  <si>
    <t>Tôn 12 mm -SUS 304</t>
  </si>
  <si>
    <t>Tôn 16 mm -SUS 304</t>
  </si>
  <si>
    <t>Tôn 20 mm -SUS 304</t>
  </si>
  <si>
    <t>Tôn 30 mm - SUS 304</t>
  </si>
  <si>
    <t>Thép tròn Þ40 - 20X13</t>
  </si>
  <si>
    <t>Cao su 6 mm (có lót bố)</t>
  </si>
  <si>
    <t>Cao su 8 mm (có lót bố)</t>
  </si>
  <si>
    <t>Cao su  P</t>
  </si>
  <si>
    <t>Cao su  Ômega</t>
  </si>
  <si>
    <t xml:space="preserve">Bu lông M14x70+đai ốc+ đệm- Inox </t>
  </si>
  <si>
    <t xml:space="preserve">Bu lông M24x100+đai ốc+ đệm- Inox </t>
  </si>
  <si>
    <t>Bu lông M18x360 Inox</t>
  </si>
  <si>
    <t>Bu lông M24x380 Inox</t>
  </si>
  <si>
    <t>Vít chìm M14x50 Inox</t>
  </si>
  <si>
    <t>đai ốc câm M14 20X13</t>
  </si>
  <si>
    <t>Đai ốc M14- Inox</t>
  </si>
  <si>
    <t>Đệm 18 - Inox</t>
  </si>
  <si>
    <t>đai ốc M18 Inox</t>
  </si>
  <si>
    <t>đai ốc M24 Inox</t>
  </si>
  <si>
    <t xml:space="preserve">Cụm chốt cửa </t>
  </si>
  <si>
    <t>Tôn 20mm- SUS 304</t>
  </si>
  <si>
    <t>Thép tròn Þ30 - 20X13</t>
  </si>
  <si>
    <t>Thép tròn Þ40- 20X13</t>
  </si>
  <si>
    <t>Thép tròn Þ45- 20X13</t>
  </si>
  <si>
    <t>Đồng 6.63</t>
  </si>
  <si>
    <t>Bulông M16x90 - Inox</t>
  </si>
  <si>
    <t>Đai ốc M16 - Inox</t>
  </si>
  <si>
    <t>Đệm M16 -  Inox</t>
  </si>
  <si>
    <t>Vít hãm M8</t>
  </si>
  <si>
    <t>Tôn 3mm- SUS 304</t>
  </si>
  <si>
    <t>Tôn 14mm- SUS 304</t>
  </si>
  <si>
    <t>Tôn 16mm- SUS 304</t>
  </si>
  <si>
    <t>Thép tròn Þ70 - 20X13</t>
  </si>
  <si>
    <t>Thép tròn Þ80 - 20X13</t>
  </si>
  <si>
    <t>Đồng 6.6.3</t>
  </si>
  <si>
    <t>Bu lông M12x30 -  Inox</t>
  </si>
  <si>
    <t>Bu lông M20x50 - Inox</t>
  </si>
  <si>
    <t>Bu lông M20x80 -  Inox</t>
  </si>
  <si>
    <t>Đai ốc câm M20 -  Inox</t>
  </si>
  <si>
    <t>Đệm M20 - CT3 Inox</t>
  </si>
  <si>
    <t>Thép tròn Þ120 - 20X13</t>
  </si>
  <si>
    <t>Thép tròn Þ135 - 20X13</t>
  </si>
  <si>
    <t>Tôn  10mm- SUS 304</t>
  </si>
  <si>
    <t>Tôn  12mm- SUS 304</t>
  </si>
  <si>
    <t>Thép tròn Þ16- 20X13+Ct3</t>
  </si>
  <si>
    <t>Thép tròn Þ27 - 20X13</t>
  </si>
  <si>
    <t>Vòng đệm M8-  Inox</t>
  </si>
  <si>
    <t>Vòng đệm M16-  Inox</t>
  </si>
  <si>
    <t>Bu lông M8x 25 - Inox</t>
  </si>
  <si>
    <t>Hộp bao che (cối + chốt)</t>
  </si>
  <si>
    <t>Tôn 3 mm - SUS 304</t>
  </si>
  <si>
    <t>Tôn 5 mm -SUS 304</t>
  </si>
  <si>
    <t>Thép tròn  Þ10mm- 20X13</t>
  </si>
  <si>
    <t>Bản lề cối</t>
  </si>
  <si>
    <t>Ổ khoá</t>
  </si>
  <si>
    <t>Bulông M10x30 - Inox</t>
  </si>
  <si>
    <t>Khe cửa</t>
  </si>
  <si>
    <t>Tôn 5 mm - CT3</t>
  </si>
  <si>
    <t>Tôn 6 mm - SUS-304</t>
  </si>
  <si>
    <t>Thép hình  I150x75x5x7 - CT3</t>
  </si>
  <si>
    <t>Thép hình L50x50x5 - CT3</t>
  </si>
  <si>
    <t xml:space="preserve">Khe phai  </t>
  </si>
  <si>
    <t>Tôn 6 mm - SUS.304</t>
  </si>
  <si>
    <t>Lo</t>
  </si>
  <si>
    <t>Eo</t>
  </si>
  <si>
    <t>Mo</t>
  </si>
  <si>
    <t>Ln</t>
  </si>
  <si>
    <t>En</t>
  </si>
  <si>
    <t>Mn</t>
  </si>
  <si>
    <t>PHỤ LỤC 2: CHI TIẾT CÁC THIẾT BỊ CHẾ TẠO</t>
  </si>
  <si>
    <t>(Đính kèm Phụ lục 1)</t>
  </si>
  <si>
    <t>Đvt: đồng.</t>
  </si>
  <si>
    <t>Đơn 
vị tính</t>
  </si>
  <si>
    <t>Khối lượng
hợp đồng</t>
  </si>
  <si>
    <t>Đơn giá
hợp đồng</t>
  </si>
  <si>
    <t>Thành tiền</t>
  </si>
  <si>
    <t>Khung Cửa</t>
  </si>
  <si>
    <r>
      <t xml:space="preserve">Cụm cối dưới </t>
    </r>
    <r>
      <rPr>
        <sz val="13"/>
        <color indexed="10"/>
        <rFont val="Times New Roman"/>
        <family val="1"/>
      </rPr>
      <t xml:space="preserve"> </t>
    </r>
  </si>
  <si>
    <t>Cụm neo khung (tính cho 01 cụm)</t>
  </si>
  <si>
    <t>(Chỉ số giá nhân công)</t>
  </si>
  <si>
    <t>(Chỉ số giá máy thi công)</t>
  </si>
  <si>
    <t>(Chỉ số giá vật liệu)</t>
  </si>
  <si>
    <t>Trong đó:</t>
  </si>
  <si>
    <t xml:space="preserve"> + Hệ số điều chỉnh "Pn" được xác định</t>
  </si>
  <si>
    <t xml:space="preserve"> + a,b,c,d: là các tỷ trọng (%) cố định theo hợp đồng</t>
  </si>
  <si>
    <t>Hệ số Pn</t>
  </si>
  <si>
    <t>Đơn giá hợp đồng</t>
  </si>
  <si>
    <t>Đơn giá thanh toán điều chỉnh theo bảng sau:</t>
  </si>
  <si>
    <t>D</t>
  </si>
  <si>
    <r>
      <t>G</t>
    </r>
    <r>
      <rPr>
        <sz val="9"/>
        <color indexed="8"/>
        <rFont val="Times New Roman"/>
        <family val="1"/>
      </rPr>
      <t>TT</t>
    </r>
    <r>
      <rPr>
        <sz val="12"/>
        <color indexed="8"/>
        <rFont val="Times New Roman"/>
        <family val="1"/>
      </rPr>
      <t xml:space="preserve"> = G</t>
    </r>
    <r>
      <rPr>
        <sz val="9"/>
        <color indexed="8"/>
        <rFont val="Times New Roman"/>
        <family val="1"/>
      </rPr>
      <t>HĐ</t>
    </r>
    <r>
      <rPr>
        <sz val="12"/>
        <color indexed="8"/>
        <rFont val="Times New Roman"/>
        <family val="1"/>
      </rPr>
      <t xml:space="preserve"> x Pn</t>
    </r>
  </si>
  <si>
    <t>E</t>
  </si>
  <si>
    <t>đồng</t>
  </si>
  <si>
    <t>Dự án: Hạ tầng thiết yếu ổn định đời sống dân cư phường 8 và xã Phú Hưng, TP Bến Tre, tỉnh Bến Tre</t>
  </si>
  <si>
    <t>Gói thầu xây lắp số 1 Thi công các hạng mục tuyến kè, đường dọc kè, cầu Cá Lóc 2, thoát nước dọc kè và chiếu sáng đường dọc kè</t>
  </si>
  <si>
    <t>HẠNG MỤC XÂY LẮP</t>
  </si>
  <si>
    <t>HẠNG MỤC: KÈ ĐOẠN  TỪ K0+602-K1+525</t>
  </si>
  <si>
    <t>CHÂN KÈ</t>
  </si>
  <si>
    <t>Đào đất thi công</t>
  </si>
  <si>
    <t>Vận chuyển đất ra khỏi công trình, cư ly 1km</t>
  </si>
  <si>
    <t>Vận chuyển đất ra khỏi công trình, cư ly 3km tiếp theo</t>
  </si>
  <si>
    <t xml:space="preserve">Đắp bao tải cát </t>
  </si>
  <si>
    <t>Trải vải địa kỹ thuật R≥21,5kN/m</t>
  </si>
  <si>
    <t>Thả thảm đá 6x2x0,3m</t>
  </si>
  <si>
    <t>Thả đá hộc rời</t>
  </si>
  <si>
    <t>THÂN KÈ</t>
  </si>
  <si>
    <t>Bê tông cọc đúc sẵn đá 1x2 M300</t>
  </si>
  <si>
    <t>Ván khuôn đổ bê tông cọc đúc sẵn</t>
  </si>
  <si>
    <t>Cốt thép cọc Ø6</t>
  </si>
  <si>
    <t>Cốt thép cọc Ø8</t>
  </si>
  <si>
    <t>Cốt thép cọc Ø22</t>
  </si>
  <si>
    <t>Thép tấm mũi cọc</t>
  </si>
  <si>
    <t>Cẩu cọc từ bờ xuống sà lan</t>
  </si>
  <si>
    <t>Đóng cọc thẳng BTCT 30x30cm, phần ngập đất</t>
  </si>
  <si>
    <t>Đóng cọc thẳng BTCT 30x30cm, phần không ngập đất</t>
  </si>
  <si>
    <t>Đóng cọc xiên BTCT 30x30cm, phần ngập đất</t>
  </si>
  <si>
    <t>Đóng cọc xiên BTCT 30x30cm, phần không ngập đất</t>
  </si>
  <si>
    <t>Phá dỡ đầu cọc</t>
  </si>
  <si>
    <t>Bê tông lót kè đá 1x2 M150</t>
  </si>
  <si>
    <t>Bê tông tường kè chiều dầy &lt;=45 cm chiều cao &lt;=4 m, đá 1x2 M250</t>
  </si>
  <si>
    <t>Ván khuôn đổ bê tông tường kè</t>
  </si>
  <si>
    <t>Cốt thép tường kè Ø10</t>
  </si>
  <si>
    <t>Cốt thép tường kè Ø12</t>
  </si>
  <si>
    <t>Cốt thép tường kè Ø14</t>
  </si>
  <si>
    <t>Cốt thép tường kè Ø16</t>
  </si>
  <si>
    <t>Cốt thép tường kè Ø18</t>
  </si>
  <si>
    <t>Bê tông bản đáy kè chiều rộng &lt;=250 cm, đá 1x2 M250</t>
  </si>
  <si>
    <t>Ván khuôn đổ bê tông bản đáy kè</t>
  </si>
  <si>
    <t>Cốt thép bản đáy kè Ø12</t>
  </si>
  <si>
    <t>Cốt thép bản đáy kè Ø14</t>
  </si>
  <si>
    <t>Cốt thép bản đáy kè Ø16</t>
  </si>
  <si>
    <t>Cốt thép bản đáy kè Ø18</t>
  </si>
  <si>
    <t>Làm lớp đá 1x2 tầng lọc</t>
  </si>
  <si>
    <t>Làm lớp đá 4x6 tầng lọc</t>
  </si>
  <si>
    <t>Lắp đặt ống nhựa Ø48</t>
  </si>
  <si>
    <t>LAN CAN ĐỈNH KÈ</t>
  </si>
  <si>
    <t>Bê tông trụ lan can đá 1x2 M200</t>
  </si>
  <si>
    <t>Ván khuôn đổ bê tông trụ lan can</t>
  </si>
  <si>
    <t>Cốt thép trụ lan can Ø6</t>
  </si>
  <si>
    <t>Cốt thép trụ lan can Ø10</t>
  </si>
  <si>
    <t>Lắp đặt ống thép tráng kẽm Ø90</t>
  </si>
  <si>
    <t>Lắp đặt ống thép tráng kẽm Ø60</t>
  </si>
  <si>
    <t>CẦU THANG</t>
  </si>
  <si>
    <t>Bê tông lót móng chiều rộng &lt;=250 cm, đá 1x2 M150</t>
  </si>
  <si>
    <t>Bê tông bản đáy chiều rộng &lt;=250 cm, đá 1x2 M250</t>
  </si>
  <si>
    <t>Bê tông sàn đá 1x2 M200</t>
  </si>
  <si>
    <t>Bê tông bậc thang đá 1x2 M200</t>
  </si>
  <si>
    <t>Ván khuôn đổ bê tông bản đáy nối tiếp</t>
  </si>
  <si>
    <t>Ván khuôn đổ bê tông sàn</t>
  </si>
  <si>
    <t>Ván khuôn đổ bê tông bậc thang</t>
  </si>
  <si>
    <t>Cốt thép bản đáy nối tiếp Ø10</t>
  </si>
  <si>
    <t>Cốt thép bản đáy nối tiếp Ø14</t>
  </si>
  <si>
    <t>Cốt thép sàn Ø10</t>
  </si>
  <si>
    <t>Cốt thép sàn Ø14</t>
  </si>
  <si>
    <t>Thép tấm chân lan can</t>
  </si>
  <si>
    <t>Cung cấp bu lông M.10x300</t>
  </si>
  <si>
    <t>Lắp đặt bu lông</t>
  </si>
  <si>
    <t>KHUNG VÂY THI CÔNG</t>
  </si>
  <si>
    <t>Khấu hao cừ larsen (1,17%x6 tháng +3,5%x18 lần đóng, nhổ)</t>
  </si>
  <si>
    <t>Đóng cọc ván thép dưới nước, phần ngập đất</t>
  </si>
  <si>
    <t>Đóng cọc ván thép dưới nước, phần không ngập đất</t>
  </si>
  <si>
    <t>Khấu hao cọc thép hình I200 (1,17%x6 tháng +3,5%x18 lần đóng, nhổ)</t>
  </si>
  <si>
    <t>Đóng cọc thép hình I200 dưới nước, phần ngập đất</t>
  </si>
  <si>
    <t>Đóng cọc thép hình I200 dưới nước, phần không ngập đất</t>
  </si>
  <si>
    <t>Khấu hao thép hình I300 (2%x6 tháng +7%x18 lắp dựng, tháo dở)</t>
  </si>
  <si>
    <t>Gia công hệ khung vây I300</t>
  </si>
  <si>
    <t>Lắp dựng kết cấu thép khung vây I300</t>
  </si>
  <si>
    <t>Nhổ cừ larsen, phần ngập đất</t>
  </si>
  <si>
    <t>Nhổ cừ larsen, phần không ngập đất</t>
  </si>
  <si>
    <t>Nhổ cọc thép hình I200, phần ngập đất</t>
  </si>
  <si>
    <t>Nhổ cọc thép hình I200, phần không ngập đất</t>
  </si>
  <si>
    <t>Tháo dỡ kết cấu thép khung vây I300</t>
  </si>
  <si>
    <t>KHUNG ĐỊNH VỊ ĐÓNG CỌC</t>
  </si>
  <si>
    <t>Khấu hao cọc thép hình I300 (1,17%x2 tháng +3,5%x61 lần đóng, nhổ)</t>
  </si>
  <si>
    <t>Khấu hao khung thép hình (2%x2 tháng +7%x61 lắp dựng, tháo dở)</t>
  </si>
  <si>
    <t>Gia công hệ khung thép hình</t>
  </si>
  <si>
    <t>Lắp dựng hệ khung thép hình</t>
  </si>
  <si>
    <t>Tháo dở hệ khung thép hình</t>
  </si>
  <si>
    <t>BÃI ĐÚC CỌC</t>
  </si>
  <si>
    <t>Đắp đất bãi đúc cọc, K≥0,90</t>
  </si>
  <si>
    <t>Đắp cát sông bãi đúc cọc, K≥0,85</t>
  </si>
  <si>
    <t>Láng vữa dày 3cm M75</t>
  </si>
  <si>
    <t>HẠNG MỤC: CẦU CÁ LÓC 2</t>
  </si>
  <si>
    <t>Trải vải địa kỹ thuật dưới nước R≥25kN</t>
  </si>
  <si>
    <t>Thả thảm đá 5x2x0,3m</t>
  </si>
  <si>
    <t>Thả thảm đá 5x1x0,3m</t>
  </si>
  <si>
    <t>Chỉ số giá gốc tại quý III/2018</t>
  </si>
  <si>
    <t>thảm</t>
  </si>
  <si>
    <t>HẠNG MỤC CHUNG</t>
  </si>
  <si>
    <t>Cộng (A+B)</t>
  </si>
  <si>
    <t>Giảm giá (7%)</t>
  </si>
  <si>
    <t>TỔNG CỘNG</t>
  </si>
  <si>
    <t>HẠNG MỤC ĐẢM BẢO GIAO THÔNG</t>
  </si>
  <si>
    <t>CHI PHÍ DỰ PHÒNG</t>
  </si>
  <si>
    <t>Chi phí dự phòng cho khối lượng phát sinh: 5%*(  A+B+C )</t>
  </si>
  <si>
    <t>Chi phí  dự phòng trượt giá: 1,9403%*(A+B+C)</t>
  </si>
  <si>
    <t>GIÁ HỢP ĐỒNG</t>
  </si>
  <si>
    <r>
      <t xml:space="preserve">Tên dự án: </t>
    </r>
    <r>
      <rPr>
        <sz val="13"/>
        <rFont val="Times New Roman"/>
        <family val="1"/>
      </rPr>
      <t>Hạ tầng thiết yếu ổn định đời sống dân cư phường 8 và xã Phú Hưng, TP Bến Tre, tỉnh Bến Tre</t>
    </r>
  </si>
  <si>
    <r>
      <t xml:space="preserve">Tên gói thầu: </t>
    </r>
    <r>
      <rPr>
        <sz val="13"/>
        <rFont val="Times New Roman"/>
        <family val="1"/>
      </rPr>
      <t>Gói thầu xây lắp số 1 Thi công các hạng mục tuyến kè, đường dọc kè, cầu Cá Lóc 2, thoát nước dọc kè và chiếu sáng đường dọc kè</t>
    </r>
  </si>
  <si>
    <r>
      <t>Chủ đầu tư:</t>
    </r>
    <r>
      <rPr>
        <sz val="13"/>
        <rFont val="Times New Roman"/>
        <family val="1"/>
      </rPr>
      <t xml:space="preserve"> Ban quản lý dự án đầu tư xây dựng các công trình nông nghiệp và phát triển nông thôn tỉnh Bến Tre</t>
    </r>
  </si>
  <si>
    <r>
      <t>Nhà thầu:</t>
    </r>
    <r>
      <rPr>
        <sz val="13"/>
        <rFont val="Times New Roman"/>
        <family val="1"/>
      </rPr>
      <t xml:space="preserve"> Liên danh Công ty cổ phần xây dựng đê kè và phát triển nông thôn Hải Dương - Công ty TNHH Xây dựng Chấn Hưng - Công ty Cổ phần Đầu tư và Xây dựng Đại Phước An - Công ty cổ phần xây dựng hạ tầng giao thông thủy lợi Hà Nội.</t>
    </r>
  </si>
  <si>
    <t>BẢNG THUYẾT MINH HỆ SỐ VÀ ĐƠN GIÁ THANH TOÁN ĐIỀU CHỈNH ĐỢT 1</t>
  </si>
  <si>
    <t>Căn cứ xác định:</t>
  </si>
  <si>
    <t>Lo=103,85</t>
  </si>
  <si>
    <t>Ln=103,85</t>
  </si>
  <si>
    <t xml:space="preserve"> + Căn cứ hợp đồng số: 1193/HĐXD-2018  ngày 26/9/2018;</t>
  </si>
  <si>
    <t xml:space="preserve"> + Lo, Eo, Mo: là chỉ số giá công trình theo loại công trình tại thời điểm gốc do Sở Xây dựng Bến Tre ban hành (quý III năm 2018 so với chỉ số giá gốc năm 2016=100)</t>
  </si>
  <si>
    <t>Eo=110,99</t>
  </si>
  <si>
    <t>Mo=111,56</t>
  </si>
  <si>
    <t xml:space="preserve"> - Đơn giá thanh toán (GTT) được tính theo công thức:</t>
  </si>
  <si>
    <t xml:space="preserve"> + GHĐ: đơn giá trong hợp đồng</t>
  </si>
  <si>
    <t>En=110,17</t>
  </si>
  <si>
    <t>Mn=113,06</t>
  </si>
  <si>
    <t>Chỉ số giá tại thời điểm tháng 11/2018</t>
  </si>
  <si>
    <t>PHÒNG KT - TĐ</t>
  </si>
  <si>
    <t>ĐẠI DIỆN NHÀ THẦU</t>
  </si>
  <si>
    <t>Đơn giá thanh toán điều chỉnh</t>
  </si>
  <si>
    <t>GIÁ TRỊ ĐIỀU CHỈNH THANH TOÁN KHỐI LƯỢNG ĐỢT 1</t>
  </si>
  <si>
    <r>
      <t xml:space="preserve">Căn cứ hợp đồng số: </t>
    </r>
    <r>
      <rPr>
        <sz val="13"/>
        <rFont val="Times New Roman"/>
        <family val="1"/>
      </rPr>
      <t>1193/HĐXD-2018  ngày 26/9/2018;</t>
    </r>
  </si>
  <si>
    <t>Đơn giá</t>
  </si>
  <si>
    <t>Điều chỉnh thanh toán</t>
  </si>
  <si>
    <t>Theo hồ sơ thanh toán khối lượng hoàn thành đợt 1</t>
  </si>
  <si>
    <t>Theo đơn giá điều chỉnh thanh toán lần 1</t>
  </si>
  <si>
    <t>8=(4)*(6)</t>
  </si>
  <si>
    <t>9=(5)*(6)</t>
  </si>
  <si>
    <t>10=(5)*(7)</t>
  </si>
  <si>
    <t>11=(10)-(9)</t>
  </si>
  <si>
    <t>Nghiệm thu lần 1 theo BB số 01 ngày 28/12/2018</t>
  </si>
  <si>
    <t xml:space="preserve"> + Biên bản nghiệm thu khối lượng hoàn thành số 01 ngày 28 tháng 12 năm 2018;</t>
  </si>
  <si>
    <t xml:space="preserve"> Biên bản nghiệm thu khối lượng hoàn thành số 01 ngày 28 tháng 12 năm 2018; Hồ sơ thanh toán khối lượng hoàn thành đợt 1</t>
  </si>
  <si>
    <t>Đối với công trình Kè tại khu vực TP. Bến Tre:</t>
  </si>
  <si>
    <t>Đối với công trình Cầu tại khu vực TP. Bến Tre:</t>
  </si>
  <si>
    <t>Mn=126,51</t>
  </si>
  <si>
    <t>Mo=124,36</t>
  </si>
  <si>
    <t xml:space="preserve"> + Ln, En, Mn: là chỉ số giá công trình theo loại công trình tại thời điểm điều chỉnh trước 28 ngày nghiệm thu (ngày nghiệm thu đợt 1: ngày 28 tháng 12 năm 2018) do Sở Xây dựng Bến Tre ban hành (lấy chỉ số giá tại thời điểm tháng 11 năm 2018) so với chỉ số giá gốc năm 2016=100</t>
  </si>
  <si>
    <t>BẢNG TỔNG HỢP GIÁ TRỊ ĐIỀU CHỈNH</t>
  </si>
  <si>
    <t>Giá trị điều chỉnh</t>
  </si>
  <si>
    <t>Giá trị đã nghiệm thu thanh toán</t>
  </si>
  <si>
    <t>Hồ sơ thanh toán khối lượng hoàn thành đợt 1 (Biên bản nghiệm thu số 01 ngày 28 tháng 12 năm 2018)</t>
  </si>
  <si>
    <t>Hồ sơ thanh toán khối lượng hoàn thành đợt 2 (Biên bản nghiệm thu số 02 ngày 05 tháng 4 năm 2019)</t>
  </si>
  <si>
    <t>Hồ sơ thanh toán khối lượng hoàn thành đợt 4 (Biên bản nghiệm thu số 05 ngày 31 tháng 12 năm 2020)</t>
  </si>
  <si>
    <t>Hồ sơ thanh toán khối lượng hoàn thành đợt 5 (Biên bản nghiệm thu số 06 ngày 04 tháng 10 năm 2021)</t>
  </si>
  <si>
    <t>Tổng cộng</t>
  </si>
  <si>
    <t>5=(4)-(3)</t>
  </si>
  <si>
    <t>Chênh lệch giá trị điều chỉnh so với giá trị đã thanh toán</t>
  </si>
  <si>
    <t xml:space="preserve"> + Căn cứ quyết định số ,,,,,, của sở xây dựng Bến Tre …(về chỉ số gốc)</t>
  </si>
  <si>
    <t xml:space="preserve"> + Căn cứ quyết định số ,,,,,, của sở xây dựng Bến Tre …(về chỉ số tại thời điểm lấy hệ số)</t>
  </si>
  <si>
    <t>TỔ GIÁM SÁT                                                                     PHÒNG KT - TĐ</t>
  </si>
  <si>
    <t>Hồ sơ thanh toán khối lượng hoàn thành đợt 3 (Biên bản nghiệm thu số 03 ngày 25 tháng 5 năm 2020)</t>
  </si>
</sst>
</file>

<file path=xl/styles.xml><?xml version="1.0" encoding="utf-8"?>
<styleSheet xmlns="http://schemas.openxmlformats.org/spreadsheetml/2006/main">
  <numFmts count="202">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_-;\-* #,##0.00\ _₫_-;_-* &quot;-&quot;??\ _₫_-;_-@_-"/>
    <numFmt numFmtId="165" formatCode="0.000"/>
    <numFmt numFmtId="166" formatCode="_(* #,##0_);_(* \(#,##0\);_(* &quot;-&quot;??_);_(@_)"/>
    <numFmt numFmtId="167" formatCode="_(* #,##0.000_);_(* \(#,##0.000\);_(* &quot;-&quot;??_);_(@_)"/>
    <numFmt numFmtId="168" formatCode="_(* #,##0.0000_);_(* \(#,##0.0000\);_(* &quot;-&quot;??_);_(@_)"/>
    <numFmt numFmtId="169" formatCode="#,##0.##0"/>
    <numFmt numFmtId="170" formatCode="_(* #,##0.00000_);_(* \(#,##0.00000\);_(* &quot;-&quot;??_);_(@_)"/>
    <numFmt numFmtId="171" formatCode="0.0000"/>
    <numFmt numFmtId="172" formatCode="0.0"/>
    <numFmt numFmtId="173" formatCode="#,##0.0000"/>
    <numFmt numFmtId="174" formatCode="_(* #,##0.000_);_(* \(#,##0.000\);_(* &quot;-&quot;???_);_(@_)"/>
    <numFmt numFmtId="175" formatCode="&quot;\&quot;#,##0.00;[Red]&quot;\&quot;&quot;\&quot;&quot;\&quot;&quot;\&quot;&quot;\&quot;&quot;\&quot;\-#,##0.00"/>
    <numFmt numFmtId="176" formatCode="&quot;\&quot;#,##0;[Red]&quot;\&quot;&quot;\&quot;\-#,##0"/>
    <numFmt numFmtId="177" formatCode="\$#,##0\ ;\(\$#,##0\)"/>
    <numFmt numFmtId="178" formatCode="0.00_)"/>
    <numFmt numFmtId="179" formatCode="_-* #,##0_-;\-* #,##0_-;_-* &quot;-&quot;_-;_-@_-"/>
    <numFmt numFmtId="180" formatCode="_-* #,##0.00_-;\-* #,##0.00_-;_-* &quot;-&quot;??_-;_-@_-"/>
    <numFmt numFmtId="181" formatCode="_-&quot;$&quot;* #,##0_-;\-&quot;$&quot;* #,##0_-;_-&quot;$&quot;* &quot;-&quot;_-;_-@_-"/>
    <numFmt numFmtId="182" formatCode="_-&quot;$&quot;* #,##0.00_-;\-&quot;$&quot;* #,##0.00_-;_-&quot;$&quot;* &quot;-&quot;??_-;_-@_-"/>
    <numFmt numFmtId="183" formatCode="#,##0.000"/>
    <numFmt numFmtId="185" formatCode="#,##0;\-#,##0;&quot;&quot;"/>
    <numFmt numFmtId="186" formatCode="_-* #,##0\ _₫_-;\-* #,##0\ _₫_-;_-* &quot;-&quot;??\ _₫_-;_-@_-"/>
    <numFmt numFmtId="187" formatCode="_-&quot;ñ&quot;* #,##0_-;\-&quot;ñ&quot;* #,##0_-;_-&quot;ñ&quot;* &quot;-&quot;_-;_-@_-"/>
    <numFmt numFmtId="188" formatCode="##.##%"/>
    <numFmt numFmtId="189" formatCode="_(* #,##0_);_(* \(#,##0\);_(* \-_);_(@_)"/>
    <numFmt numFmtId="190" formatCode="_ * #,##0_ ;_ * \-#,##0_ ;_ * \-_ ;_ @_ "/>
    <numFmt numFmtId="191" formatCode="_-\$* #,##0_-;&quot;-$&quot;* #,##0_-;_-\$* \-_-;_-@_-"/>
    <numFmt numFmtId="192" formatCode="#,###&quot; &quot;;\(#,###\)"/>
    <numFmt numFmtId="193" formatCode="#,###&quot;  &quot;;\(#,###\)&quot; &quot;"/>
    <numFmt numFmtId="194" formatCode="_(* #,##0_);_(* \(#,##0\);_(* \-??_);_(@_)"/>
    <numFmt numFmtId="195" formatCode="_(\$* #,##0_);_(\$* \(#,##0\);_(\$* \-_);_(@_)"/>
    <numFmt numFmtId="196" formatCode="_-* #,##0\$_-;\-* #,##0\$_-;_-* &quot;-$&quot;_-;_-@_-"/>
    <numFmt numFmtId="197" formatCode="_-* #,##0\ _€_-;\-* #,##0\ _€_-;_-* &quot;-&quot;\ _€_-;_-@_-"/>
    <numFmt numFmtId="198" formatCode="_-* #,##0\ _F_-;\-* #,##0\ _F_-;_-* &quot;-&quot;\ _F_-;_-@_-"/>
    <numFmt numFmtId="199" formatCode="_-* #,##0\ _F_-;\-* #,##0\ _F_-;_-* &quot;- &quot;_F_-;_-@_-"/>
    <numFmt numFmtId="200" formatCode="_-* #,##0&quot;$&quot;_-;_-* #,##0&quot;$&quot;\-;_-* &quot;-&quot;&quot;$&quot;_-;_-@_-"/>
    <numFmt numFmtId="201" formatCode="_-* #,##0\ &quot;F&quot;_-;\-* #,##0\ &quot;F&quot;_-;_-* &quot;-&quot;\ &quot;F&quot;_-;_-@_-"/>
    <numFmt numFmtId="202" formatCode="#,##0&quot; FB&quot;;\-#,##0&quot; FB&quot;"/>
    <numFmt numFmtId="203" formatCode="_ * #,##0_)&quot; $&quot;_ ;_ * \(#,##0&quot;) $&quot;_ ;_ * \-_)&quot; $&quot;_ ;_ @_ "/>
    <numFmt numFmtId="204" formatCode="_-* #,##0&quot;$&quot;_-;\-* #,##0&quot;$&quot;_-;_-* &quot;-&quot;&quot;$&quot;_-;_-@_-"/>
    <numFmt numFmtId="205" formatCode="_ * #,##0_)\ &quot;$&quot;_ ;_ * \(#,##0\)\ &quot;$&quot;_ ;_ * &quot;-&quot;_)\ &quot;$&quot;_ ;_ @_ "/>
    <numFmt numFmtId="206" formatCode="#,##0\ &quot;FB&quot;;\-#,##0\ &quot;FB&quot;"/>
    <numFmt numFmtId="207" formatCode="_-&quot;Z$&quot;* #,##0_-;\-&quot;Z$&quot;* #,##0_-;_-&quot;Z$&quot;* &quot;-&quot;_-;_-@_-"/>
    <numFmt numFmtId="208" formatCode="_(&quot;+&quot;* #,##0_);_(&quot;+&quot;* \(#,##0\);_(&quot;+&quot;* &quot;-&quot;_);_(@_)"/>
    <numFmt numFmtId="209" formatCode="_ &quot;$&quot;* #,##0_ ;_ &quot;$&quot;* \-#,##0_ ;_ &quot;$&quot;* &quot;-&quot;_ ;_ @_ "/>
    <numFmt numFmtId="210" formatCode="_-* #,##0\ &quot;$&quot;_-;\-* #,##0\ &quot;$&quot;_-;_-* &quot;-&quot;\ &quot;$&quot;_-;_-@_-"/>
    <numFmt numFmtId="211" formatCode="_-* #,##0&quot; $&quot;_-;\-* #,##0&quot; $&quot;_-;_-* &quot;- $&quot;_-;_-@_-"/>
    <numFmt numFmtId="212" formatCode="_ * #,##0_)&quot;$&quot;_ ;_ * \(#,##0\)&quot;$&quot;_ ;_ * &quot;-&quot;_)&quot;$&quot;_ ;_ @_ "/>
    <numFmt numFmtId="213" formatCode="_ * #,##0_)&quot;+&quot;_ ;_ * \(#,##0\)&quot;+&quot;_ ;_ * &quot;-&quot;_)&quot;+&quot;_ ;_ @_ "/>
    <numFmt numFmtId="214" formatCode="_-* #,##0&quot; F&quot;_-;\-* #,##0&quot; F&quot;_-;_-* &quot;- F&quot;_-;_-@_-"/>
    <numFmt numFmtId="215" formatCode="_(&quot;Z$&quot;* #,##0_);_(&quot;Z$&quot;* \(#,##0\);_(&quot;Z$&quot;* &quot;-&quot;_);_(@_)"/>
    <numFmt numFmtId="216" formatCode="_-&quot;+&quot;* #,##0_-;\-&quot;+&quot;* #,##0_-;_-&quot;+&quot;* &quot;-&quot;_-;_-@_-"/>
    <numFmt numFmtId="217" formatCode="_-\ñ* #,##0_-;&quot;-ñ&quot;* #,##0_-;_-\ñ* \-_-;_-@_-"/>
    <numFmt numFmtId="218" formatCode="_-* #,##0\ _$_-;\-* #,##0\ _$_-;_-* &quot;- &quot;_$_-;_-@_-"/>
    <numFmt numFmtId="219" formatCode="\£###,0\.00;&quot;-£&quot;###,0\.00"/>
    <numFmt numFmtId="220" formatCode="0\.0000"/>
    <numFmt numFmtId="221" formatCode="_-\$* ###,0\.00_-;&quot;-$&quot;* ###,0\.00_-;_-\$* \-??_-;_-@_-"/>
    <numFmt numFmtId="222" formatCode="_-* #,##0.00_-;\-* #,##0.00_-;_-* \-??_-;_-@_-"/>
    <numFmt numFmtId="223" formatCode="_-* ###,0\.00_-;\-* ###,0\.00_-;_-* \-??_-;_-@_-"/>
    <numFmt numFmtId="224" formatCode="_-* ###,0&quot;.&quot;00_-;\-* ###,0&quot;.&quot;00_-;_-* &quot;-&quot;??_-;_-@_-"/>
    <numFmt numFmtId="225" formatCode="_-* #,##0.00_$_-;_-* #,##0.00_$\-;_-* &quot;-&quot;??_$_-;_-@_-"/>
    <numFmt numFmtId="226" formatCode="_(* ###,0\.00_);_(* \(###,0\.00\);_(* \-??_);_(@_)"/>
    <numFmt numFmtId="227" formatCode="_ * #,##0.00_ ;_ * \-#,##0.00_ ;_ * &quot;-&quot;??_ ;_ @_ "/>
    <numFmt numFmtId="228" formatCode="_ * ###,0\.00_ ;_ * \-###,0\.00_ ;_ * \-??_ ;_ @_ "/>
    <numFmt numFmtId="229" formatCode="_-* #,##0.00\ _V_N_D_-;\-* #,##0.00\ _V_N_D_-;_-* &quot;-&quot;??\ _V_N_D_-;_-@_-"/>
    <numFmt numFmtId="230" formatCode="_-* ###,0\.00\ _V_N_D_-;\-* ###,0\.00\ _V_N_D_-;_-* \-??\ _V_N_D_-;_-@_-"/>
    <numFmt numFmtId="231" formatCode="_-* #,##0.00\ _F_-;\-* #,##0.00\ _F_-;_-* &quot;-&quot;??\ _F_-;_-@_-"/>
    <numFmt numFmtId="232" formatCode="_-* ###,0\.00\ _F_-;\-* ###,0\.00\ _F_-;_-* \-??\ _F_-;_-@_-"/>
    <numFmt numFmtId="233" formatCode="_-* ###,0\.00\ _D_M_-;\-* ###,0\.00\ _D_M_-;_-* \-??\ _D_M_-;_-@_-"/>
    <numFmt numFmtId="234" formatCode="_-* #,##0.00\ _V_N_Ñ_-;_-* #,##0.00\ _V_N_Ñ\-;_-* &quot;-&quot;??\ _V_N_Ñ_-;_-@_-"/>
    <numFmt numFmtId="235" formatCode="#,##0.00&quot; FB&quot;;\-#,##0.00&quot; FB&quot;"/>
    <numFmt numFmtId="236" formatCode="_ * #,##0.00_)\ _$_ ;_ * \(#,##0.00&quot;) &quot;_$_ ;_ * \-??_)\ _$_ ;_ @_ "/>
    <numFmt numFmtId="237" formatCode="_-* #,##0.00_$_-;\-* #,##0.00_$_-;_-* &quot;-&quot;??_$_-;_-@_-"/>
    <numFmt numFmtId="238" formatCode="_ * #,##0.00_)\ _$_ ;_ * \(#,##0.00\)\ _$_ ;_ * &quot;-&quot;??_)\ _$_ ;_ @_ "/>
    <numFmt numFmtId="239" formatCode="_-* #,##0.00\ _k_r_-;\-* #,##0.00\ _k_r_-;_-* &quot;-&quot;??\ _k_r_-;_-@_-"/>
    <numFmt numFmtId="240" formatCode="#,##0.00\ &quot;FB&quot;;\-#,##0.00\ &quot;FB&quot;"/>
    <numFmt numFmtId="241" formatCode="_-* #,##0.00\ _F_-;\-* #,##0.00\ _F_-;_-* \-??\ _F_-;_-@_-"/>
    <numFmt numFmtId="242" formatCode="_-* #,##0.00_ñ_-;\-* #,##0.00_ñ_-;_-* \-??_ñ_-;_-@_-"/>
    <numFmt numFmtId="243" formatCode="_ * #,##0.00_)_$_ ;_ * \(#,##0.00\)_$_ ;_ * &quot;-&quot;??_)_$_ ;_ @_ "/>
    <numFmt numFmtId="244" formatCode="_-* #,##0.00\ _F_B_-;\-* #,##0.00\ _F_B_-;_-* &quot;-&quot;??\ _F_B_-;_-@_-"/>
    <numFmt numFmtId="245" formatCode="_-* #,##0.00_$_-;\-* #,##0.00_$_-;_-* \-??_$_-;_-@_-"/>
    <numFmt numFmtId="246" formatCode="_-* #,##0.00\ _€_-;\-* #,##0.00\ _€_-;_-* &quot;-&quot;??\ _€_-;_-@_-"/>
    <numFmt numFmtId="247" formatCode="0\.0"/>
    <numFmt numFmtId="248" formatCode="_(* ###,0&quot;.&quot;00_);_(* \(###,0&quot;.&quot;00\);_(* &quot;-&quot;??_);_(@_)"/>
    <numFmt numFmtId="249" formatCode="_-* #,##0.00_ñ_-;\-* #,##0.00_ñ_-;_-* &quot;-&quot;??_ñ_-;_-@_-"/>
    <numFmt numFmtId="250" formatCode="_-* #,##0.00\ _ñ_-;\-* #,##0.00\ _ñ_-;_-* &quot;-&quot;??\ _ñ_-;_-@_-"/>
    <numFmt numFmtId="251" formatCode="_-* ###,0\.00\ _ñ_-;\-* ###,0\.00\ _ñ_-;_-* \-??\ _ñ_-;_-@_-"/>
    <numFmt numFmtId="252" formatCode="_-\£* #,##0_-;&quot;-£&quot;* #,##0_-;_-\£* \-_-;_-@_-"/>
    <numFmt numFmtId="253" formatCode="_-* #,##0_-;\-* #,##0_-;_-* \-_-;_-@_-"/>
    <numFmt numFmtId="254" formatCode="_(&quot;$ &quot;* #,##0_);_(&quot;$ &quot;* \(#,##0\);_(&quot;$ &quot;* \-_);_(@_)"/>
    <numFmt numFmtId="255" formatCode="_(&quot;$&quot;\ * #,##0_);_(&quot;$&quot;\ * \(#,##0\);_(&quot;$&quot;\ * &quot;-&quot;_);_(@_)"/>
    <numFmt numFmtId="256" formatCode="###,0\.00&quot; $&quot;;\-###,0\.00&quot; $&quot;"/>
    <numFmt numFmtId="257" formatCode="\£#,##0;&quot;-£&quot;#,##0"/>
    <numFmt numFmtId="258" formatCode="\$###,0\.00;[Red]&quot;-$&quot;###,0\.00"/>
    <numFmt numFmtId="259" formatCode="\$#,##0;[Red]&quot;-$&quot;#,##0"/>
    <numFmt numFmtId="260" formatCode="_-* #,##0\ &quot;ñ&quot;_-;\-* #,##0\ &quot;ñ&quot;_-;_-* &quot;-&quot;\ &quot;ñ&quot;_-;_-@_-"/>
    <numFmt numFmtId="261" formatCode="_-* #,##0&quot; ñ&quot;_-;\-* #,##0&quot; ñ&quot;_-;_-* &quot;- ñ&quot;_-;_-@_-"/>
    <numFmt numFmtId="262" formatCode="###,0\.00&quot; $&quot;;[Red]\-###,0\.00&quot; $&quot;"/>
    <numFmt numFmtId="263" formatCode="\£#,##0;[Red]&quot;-£&quot;#,##0"/>
    <numFmt numFmtId="264" formatCode="_-* #,##0_$_-;_-* #,##0_$\-;_-* &quot;-&quot;_$_-;_-@_-"/>
    <numFmt numFmtId="265" formatCode="_ * #,##0_ ;_ * \-#,##0_ ;_ * &quot;-&quot;_ ;_ @_ "/>
    <numFmt numFmtId="266" formatCode="_-* #,##0\ _V_N_D_-;\-* #,##0\ _V_N_D_-;_-* &quot;-&quot;\ _V_N_D_-;_-@_-"/>
    <numFmt numFmtId="267" formatCode="_-* #,##0\ _V_N_D_-;\-* #,##0\ _V_N_D_-;_-* &quot;- &quot;_V_N_D_-;_-@_-"/>
    <numFmt numFmtId="268" formatCode="_-* #,##0\ _V_N_Ñ_-;_-* #,##0\ _V_N_Ñ\-;_-* &quot;-&quot;\ _V_N_Ñ_-;_-@_-"/>
    <numFmt numFmtId="269" formatCode="#,##0&quot; FB&quot;;[Red]\-#,##0&quot; FB&quot;"/>
    <numFmt numFmtId="270" formatCode="_ * #,##0_)\ _$_ ;_ * \(#,##0&quot;) &quot;_$_ ;_ * \-_)\ _$_ ;_ @_ "/>
    <numFmt numFmtId="271" formatCode="_-* #,##0_$_-;\-* #,##0_$_-;_-* &quot;-&quot;_$_-;_-@_-"/>
    <numFmt numFmtId="272" formatCode="_ * #,##0_)\ _$_ ;_ * \(#,##0\)\ _$_ ;_ * &quot;-&quot;_)\ _$_ ;_ @_ "/>
    <numFmt numFmtId="273" formatCode="_-* #,##0\ _k_r_-;\-* #,##0\ _k_r_-;_-* &quot;-&quot;\ _k_r_-;_-@_-"/>
    <numFmt numFmtId="274" formatCode="#,##0\ &quot;FB&quot;;[Red]\-#,##0\ &quot;FB&quot;"/>
    <numFmt numFmtId="275" formatCode="_-* #,##0\ _$_-;\-* #,##0\ _$_-;_-* &quot;-&quot;\ _$_-;_-@_-"/>
    <numFmt numFmtId="276" formatCode="_-* #,##0_ñ_-;\-* #,##0_ñ_-;_-* \-_ñ_-;_-@_-"/>
    <numFmt numFmtId="277" formatCode="_ * #,##0_)_$_ ;_ * \(#,##0\)_$_ ;_ * &quot;-&quot;_)_$_ ;_ @_ "/>
    <numFmt numFmtId="278" formatCode="_-* #,##0\ _F_B_-;\-* #,##0\ _F_B_-;_-* &quot;-&quot;\ _F_B_-;_-@_-"/>
    <numFmt numFmtId="279" formatCode="_-* #,##0_$_-;\-* #,##0_$_-;_-* \-_$_-;_-@_-"/>
    <numFmt numFmtId="280" formatCode="0\.0_ ;\-0\.0\ "/>
    <numFmt numFmtId="281" formatCode="\;;;"/>
    <numFmt numFmtId="282" formatCode="_-* #,##0_ñ_-;\-* #,##0_ñ_-;_-* &quot;-&quot;_ñ_-;_-@_-"/>
    <numFmt numFmtId="283" formatCode="_-* #,##0\ _ñ_-;\-* #,##0\ _ñ_-;_-* &quot;-&quot;\ _ñ_-;_-@_-"/>
    <numFmt numFmtId="284" formatCode="_-* #,##0\ _ñ_-;\-* #,##0\ _ñ_-;_-* &quot;- &quot;_ñ_-;_-@_-"/>
    <numFmt numFmtId="285" formatCode="#,##0&quot; $&quot;;[Red]\-#,##0&quot; $&quot;"/>
    <numFmt numFmtId="286" formatCode="_(* ###,0\.00_);_(* \(###,0\.00\);_(* \-_);_(@_)"/>
    <numFmt numFmtId="287" formatCode="_ &quot;\&quot;* #,##0_ ;_ &quot;\&quot;* \-#,##0_ ;_ &quot;\&quot;* &quot;-&quot;_ ;_ @_ "/>
    <numFmt numFmtId="288" formatCode="_ \\* #,##0_ ;_ \\* \-#,##0_ ;_ \\* \-_ ;_ @_ "/>
    <numFmt numFmtId="289" formatCode="_-* #,##0_-;\-* #,##0_-;_-* &quot;-&quot;??_-;_-@_-"/>
    <numFmt numFmtId="290" formatCode="\$#,##0.00_);\(\$#,##0.00\)"/>
    <numFmt numFmtId="291" formatCode="_ &quot;SFr.&quot;\ * #,##0_ ;_ &quot;SFr.&quot;\ * \-#,##0_ ;_ &quot;SFr.&quot;\ * &quot;-&quot;_ ;_ @_ "/>
    <numFmt numFmtId="292" formatCode="_ &quot;\&quot;* #,##0.00_ ;_ &quot;\&quot;* \-#,##0.00_ ;_ &quot;\&quot;* &quot;-&quot;??_ ;_ @_ "/>
    <numFmt numFmtId="293" formatCode="_ * #,##0.00_)&quot;€&quot;_ ;_ * \(#,##0.00\)&quot;€&quot;_ ;_ * &quot;-&quot;??_)&quot;€&quot;_ ;_ @_ "/>
    <numFmt numFmtId="294" formatCode="_ &quot;\&quot;* #,##0.00_ ;_ &quot;\&quot;* &quot;\&quot;&quot;\&quot;&quot;\&quot;&quot;\&quot;&quot;\&quot;&quot;\&quot;&quot;\&quot;&quot;\&quot;&quot;\&quot;&quot;\&quot;&quot;\&quot;&quot;\&quot;\-#,##0.00_ ;_ &quot;\&quot;* &quot;-&quot;??_ ;_ @_ "/>
    <numFmt numFmtId="295" formatCode="_ * #,##0.00_ ;_ * &quot;\&quot;&quot;\&quot;&quot;\&quot;&quot;\&quot;&quot;\&quot;&quot;\&quot;&quot;\&quot;&quot;\&quot;&quot;\&quot;&quot;\&quot;&quot;\&quot;&quot;\&quot;\-#,##0.00_ ;_ * &quot;-&quot;??_ ;_ @_ "/>
    <numFmt numFmtId="296" formatCode="&quot;\&quot;#,##0;&quot;\&quot;&quot;\&quot;&quot;\&quot;&quot;\&quot;&quot;\&quot;&quot;\&quot;&quot;\&quot;&quot;\&quot;&quot;\&quot;&quot;\&quot;&quot;\&quot;&quot;\&quot;&quot;\&quot;&quot;\&quot;\-#,##0"/>
    <numFmt numFmtId="297" formatCode="&quot;\&quot;#,##0;[Red]&quot;\&quot;&quot;\&quot;&quot;\&quot;&quot;\&quot;&quot;\&quot;&quot;\&quot;&quot;\&quot;&quot;\&quot;&quot;\&quot;&quot;\&quot;&quot;\&quot;&quot;\&quot;&quot;\&quot;&quot;\&quot;\-#,##0"/>
    <numFmt numFmtId="298" formatCode="_ * #,##0_ ;_ * &quot;\&quot;&quot;\&quot;&quot;\&quot;&quot;\&quot;&quot;\&quot;&quot;\&quot;&quot;\&quot;&quot;\&quot;&quot;\&quot;&quot;\&quot;&quot;\&quot;&quot;\&quot;\-#,##0_ ;_ * &quot;-&quot;_ ;_ @_ "/>
    <numFmt numFmtId="299" formatCode="&quot;\&quot;#,##0.00;&quot;\&quot;&quot;\&quot;&quot;\&quot;&quot;\&quot;&quot;\&quot;&quot;\&quot;&quot;\&quot;&quot;\&quot;&quot;\&quot;&quot;\&quot;&quot;\&quot;&quot;\&quot;&quot;\&quot;&quot;\&quot;\-#,##0.00"/>
    <numFmt numFmtId="300" formatCode="##,###.##"/>
    <numFmt numFmtId="301" formatCode="_-* #,##0.00\ &quot;F&quot;_-;\-* #,##0.00\ &quot;F&quot;_-;_-* &quot;-&quot;??\ &quot;F&quot;_-;_-@_-"/>
    <numFmt numFmtId="302" formatCode="#0.##"/>
    <numFmt numFmtId="303" formatCode="0.000_)"/>
    <numFmt numFmtId="304" formatCode="###,###,##0"/>
    <numFmt numFmtId="305" formatCode="_-* #,##0\ _₫_-;\-* #,##0\ _₫_-;_-* &quot;-&quot;\ _₫_-;_-@_-"/>
    <numFmt numFmtId="306" formatCode="#,##0;\(#,##0\)"/>
    <numFmt numFmtId="307" formatCode="##,##0%"/>
    <numFmt numFmtId="308" formatCode="#,###%"/>
    <numFmt numFmtId="309" formatCode="##.##"/>
    <numFmt numFmtId="310" formatCode="###,###"/>
    <numFmt numFmtId="311" formatCode="###.###"/>
    <numFmt numFmtId="312" formatCode="##,###.####"/>
    <numFmt numFmtId="313" formatCode="#,##0&quot;VND&quot;_);\(#,##0&quot;VND&quot;\)"/>
    <numFmt numFmtId="314" formatCode="#,##0&quot;VND&quot;_);[Red]\(#,##0&quot;VND&quot;\)"/>
    <numFmt numFmtId="315" formatCode="_-* #,##0.00_V_N_D_-;\-* #,##0.00_V_N_D_-;_-* &quot;-&quot;??_V_N_D_-;_-@_-"/>
    <numFmt numFmtId="316" formatCode="\t0.00%"/>
    <numFmt numFmtId="317" formatCode="##,##0.##"/>
    <numFmt numFmtId="318" formatCode="&quot;$&quot;\ \ \ \ #,##0_);\(&quot;$&quot;\ \ \ #,##0\)"/>
    <numFmt numFmtId="319" formatCode="&quot;$&quot;\ \ \ \ \ #,##0_);\(&quot;$&quot;\ \ \ \ \ #,##0\)"/>
    <numFmt numFmtId="320" formatCode="\t#\ ??/??"/>
    <numFmt numFmtId="321" formatCode="_-* #,##0\ _₫_-;\-* #,##0\ _₫_-;_-* &quot;- &quot;_₫_-;_-@_-"/>
    <numFmt numFmtId="322" formatCode="_(* #,##0.00_);_(* \(#,##0.00\);_(* \-??_);_(@_)"/>
    <numFmt numFmtId="323" formatCode="_-* #,##0.00\ _₫_-;\-* #,##0.00\ _₫_-;_-* \-??\ _₫_-;_-@_-"/>
    <numFmt numFmtId="324" formatCode="_ * #,##0.00_)_d_ ;_ * \(#,##0.00\)_d_ ;_ * &quot;-&quot;??_)_d_ ;_ @_ "/>
    <numFmt numFmtId="325" formatCode="#,##0_);\-#,##0_)"/>
    <numFmt numFmtId="326" formatCode="_(* #,##0.000000_);_(* \(#,##0.000000\);_(* &quot;-&quot;??_);_(@_)"/>
    <numFmt numFmtId="327" formatCode="#."/>
    <numFmt numFmtId="328" formatCode="#,##0\ &quot;$&quot;_);\(#,##0\ &quot;$&quot;\)"/>
    <numFmt numFmtId="329" formatCode="&quot;$&quot;#,##0.00_);\(&quot;$&quot;#.##0\)"/>
    <numFmt numFmtId="330" formatCode="#,###"/>
    <numFmt numFmtId="331" formatCode="#,##0\ &quot;$&quot;_);[Red]\(#,##0\ &quot;$&quot;\)"/>
    <numFmt numFmtId="332" formatCode="&quot;$&quot;###,0&quot;.&quot;00_);[Red]\(&quot;$&quot;###,0&quot;.&quot;00\)"/>
    <numFmt numFmtId="333" formatCode="&quot;\&quot;#,##0;[Red]\-&quot;\&quot;#,##0"/>
    <numFmt numFmtId="334" formatCode="&quot;\&quot;#,##0.00;\-&quot;\&quot;#,##0.00"/>
    <numFmt numFmtId="335" formatCode="#,##0.00_);\-#,##0.00_)"/>
    <numFmt numFmtId="336" formatCode="_ &quot;\&quot;* #,##0_ ;_ &quot;\&quot;* &quot;\&quot;&quot;\&quot;&quot;\&quot;&quot;\&quot;&quot;\&quot;&quot;\&quot;&quot;\&quot;&quot;\&quot;&quot;\&quot;&quot;\&quot;&quot;\&quot;&quot;\&quot;&quot;\&quot;&quot;\&quot;\-#,##0_ ;_ &quot;\&quot;* &quot;-&quot;_ ;_ @_ "/>
    <numFmt numFmtId="337" formatCode="_-* #,##0\ _F_-;\-* #,##0\ _F_-;_-* &quot;-&quot;\ _F_-;[Red]_-@_-"/>
    <numFmt numFmtId="338" formatCode="#,##0.00\ &quot;F&quot;;[Red]\-#,##0.00\ &quot;F&quot;"/>
    <numFmt numFmtId="339" formatCode="_ * #,##0_)_V_N_D_ ;_ * \(#,##0\)_V_N_D_ ;_ * &quot;-&quot;_)_V_N_D_ ;_ @_ "/>
    <numFmt numFmtId="340" formatCode="&quot;0 &quot;"/>
    <numFmt numFmtId="341" formatCode="_-* #,##0.0\ _F_-;\-* #,##0.0\ _F_-;_-* &quot;-&quot;??\ _F_-;_-@_-"/>
    <numFmt numFmtId="342" formatCode="_ * #,##0.00_)&quot;VND&quot;_ ;_ * \(#,##0.00\)&quot;VND&quot;_ ;_ * &quot;-&quot;??_)&quot;VND&quot;_ ;_ @_ "/>
    <numFmt numFmtId="343" formatCode="_-&quot;£&quot;* #,##0.00_-;\-&quot;£&quot;* #,##0.00_-;_-&quot;£&quot;* &quot;-&quot;??_-;_-@_-"/>
    <numFmt numFmtId="344" formatCode="#,##0.00\ &quot;FB&quot;;[Red]\-#,##0.00\ &quot;FB&quot;"/>
    <numFmt numFmtId="345" formatCode="_-&quot;£&quot;* #,##0_-;\-&quot;£&quot;* #,##0_-;_-&quot;£&quot;* &quot;-&quot;_-;_-@_-"/>
    <numFmt numFmtId="346" formatCode="_ * #,##0_ ;_ * \-#,##0_ ;_ * &quot;-&quot;??_ ;_ @_ "/>
    <numFmt numFmtId="347" formatCode="###,0&quot;.&quot;00\ &quot;F&quot;;[Red]\-###,0&quot;.&quot;00\ &quot;F&quot;"/>
    <numFmt numFmtId="348" formatCode="&quot;\&quot;#,##0;&quot;\&quot;\-#,##0"/>
    <numFmt numFmtId="349" formatCode="_-* ###,0&quot;.&quot;00\ _F_B_-;\-* ###,0&quot;.&quot;00\ _F_B_-;_-* &quot;-&quot;??\ _F_B_-;_-@_-"/>
    <numFmt numFmtId="350" formatCode="#,##0.00\ \ \ \ "/>
    <numFmt numFmtId="351" formatCode="_-* #,##0.000_-;\-* #,##0.000_-;_-* &quot;-&quot;??_-;_-@_-"/>
    <numFmt numFmtId="352" formatCode="\ \ \-\ @"/>
    <numFmt numFmtId="353" formatCode="&quot;\&quot;#,##0.00;[Red]&quot;\&quot;&quot;\&quot;&quot;\&quot;&quot;\&quot;&quot;\&quot;&quot;\&quot;&quot;\&quot;&quot;\&quot;&quot;\&quot;&quot;\&quot;&quot;\&quot;&quot;\&quot;&quot;\&quot;&quot;\&quot;\-#,##0.00"/>
    <numFmt numFmtId="354" formatCode="_-* #,##0.000\ _₫_-;\-* #,##0.000\ _₫_-;_-* &quot;-&quot;??\ _₫_-;_-@_-"/>
    <numFmt numFmtId="355" formatCode="_ &quot;\&quot;* #,##0_ ;_ &quot;\&quot;* &quot;\&quot;&quot;\&quot;&quot;\&quot;&quot;\&quot;&quot;\&quot;&quot;\&quot;&quot;\&quot;&quot;\&quot;&quot;\&quot;&quot;\&quot;&quot;\&quot;&quot;\&quot;&quot;\&quot;\-#,##0_ ;_ &quot;\&quot;* &quot;-&quot;_ ;_ @_ "/>
    <numFmt numFmtId="356" formatCode="&quot;$&quot;#,##0;\-&quot;$&quot;#,##0"/>
    <numFmt numFmtId="357" formatCode="#,##0\ &quot;F&quot;;[Red]\-#,##0\ &quot;F&quot;"/>
    <numFmt numFmtId="358" formatCode="#,##0.00\ &quot;F&quot;;\-#,##0.00\ &quot;F&quot;"/>
    <numFmt numFmtId="359" formatCode="_-&quot;\&quot;* #,##0_-;\-&quot;\&quot;* #,##0_-;_-&quot;\&quot;* &quot;-&quot;_-;_-@_-"/>
    <numFmt numFmtId="360" formatCode="_-&quot;\&quot;* #,##0.00_-;\-&quot;\&quot;* #,##0.00_-;_-&quot;\&quot;* &quot;-&quot;??_-;_-@_-"/>
  </numFmts>
  <fonts count="254">
    <font>
      <sz val="11"/>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63"/>
      <scheme val="minor"/>
    </font>
    <font>
      <sz val="11"/>
      <name val="Times New Roman"/>
      <family val="1"/>
    </font>
    <font>
      <sz val="8"/>
      <name val="Times New Roman"/>
      <family val="1"/>
    </font>
    <font>
      <sz val="11"/>
      <name val="Times New Roman"/>
      <family val="1"/>
    </font>
    <font>
      <sz val="10"/>
      <name val="Times New Roman"/>
      <family val="1"/>
    </font>
    <font>
      <sz val="24"/>
      <name val="Times New Roman"/>
      <family val="1"/>
    </font>
    <font>
      <b/>
      <sz val="12"/>
      <name val="Times New Roman"/>
      <family val="1"/>
    </font>
    <font>
      <b/>
      <sz val="16"/>
      <name val="Times New Roman"/>
      <family val="1"/>
    </font>
    <font>
      <b/>
      <sz val="11"/>
      <name val="Times New Roman"/>
      <family val="1"/>
    </font>
    <font>
      <sz val="12"/>
      <name val="Times New Roman"/>
      <family val="1"/>
    </font>
    <font>
      <b/>
      <sz val="10"/>
      <color indexed="10"/>
      <name val="Times New Roman"/>
      <family val="1"/>
    </font>
    <font>
      <sz val="11"/>
      <color indexed="16"/>
      <name val="Times New Roman"/>
      <family val="1"/>
    </font>
    <font>
      <sz val="10"/>
      <color indexed="14"/>
      <name val="Times New Roman"/>
      <family val="1"/>
    </font>
    <font>
      <sz val="10"/>
      <color indexed="16"/>
      <name val="Times New Roman"/>
      <family val="1"/>
    </font>
    <font>
      <sz val="10"/>
      <color indexed="53"/>
      <name val="Times New Roman"/>
      <family val="1"/>
    </font>
    <font>
      <sz val="16"/>
      <name val="Times New Roman"/>
      <family val="1"/>
    </font>
    <font>
      <sz val="11"/>
      <color indexed="53"/>
      <name val="Times New Roman"/>
      <family val="1"/>
    </font>
    <font>
      <sz val="11"/>
      <color indexed="14"/>
      <name val="Times New Roman"/>
      <family val="1"/>
    </font>
    <font>
      <b/>
      <i/>
      <sz val="10"/>
      <name val="Times New Roman"/>
      <family val="1"/>
    </font>
    <font>
      <sz val="10"/>
      <name val="VNI-Times"/>
    </font>
    <font>
      <b/>
      <sz val="10"/>
      <name val="Times New Roman"/>
      <family val="1"/>
      <charset val="163"/>
    </font>
    <font>
      <b/>
      <sz val="10"/>
      <color indexed="10"/>
      <name val="Times New Roman"/>
      <family val="1"/>
      <charset val="163"/>
    </font>
    <font>
      <b/>
      <sz val="10"/>
      <color indexed="12"/>
      <name val="Times New Roman"/>
      <family val="1"/>
      <charset val="163"/>
    </font>
    <font>
      <b/>
      <sz val="11"/>
      <color indexed="12"/>
      <name val="Times New Roman"/>
      <family val="1"/>
    </font>
    <font>
      <sz val="10"/>
      <name val="VNI-Helve"/>
    </font>
    <font>
      <sz val="13"/>
      <name val="Times New Roman"/>
      <family val="1"/>
    </font>
    <font>
      <b/>
      <sz val="13"/>
      <name val="Times New Roman"/>
      <family val="1"/>
    </font>
    <font>
      <b/>
      <i/>
      <sz val="11"/>
      <name val="Times New Roman"/>
      <family val="1"/>
    </font>
    <font>
      <b/>
      <sz val="11"/>
      <color rgb="FFFF0000"/>
      <name val="Times New Roman"/>
      <family val="1"/>
    </font>
    <font>
      <b/>
      <sz val="12"/>
      <color rgb="FFFF0000"/>
      <name val="Times New Roman"/>
      <family val="1"/>
    </font>
    <font>
      <sz val="12"/>
      <color indexed="10"/>
      <name val="Times New Roman"/>
      <family val="1"/>
    </font>
    <font>
      <b/>
      <u/>
      <sz val="12"/>
      <color indexed="12"/>
      <name val="Times New Roman"/>
      <family val="1"/>
    </font>
    <font>
      <b/>
      <sz val="12"/>
      <color indexed="17"/>
      <name val="Times New Roman"/>
      <family val="1"/>
    </font>
    <font>
      <b/>
      <u/>
      <sz val="12"/>
      <color indexed="17"/>
      <name val="Times New Roman"/>
      <family val="1"/>
    </font>
    <font>
      <b/>
      <sz val="12"/>
      <color rgb="FF3333FF"/>
      <name val="Times New Roman"/>
      <family val="1"/>
    </font>
    <font>
      <sz val="12"/>
      <color rgb="FF3333FF"/>
      <name val="Times New Roman"/>
      <family val="1"/>
    </font>
    <font>
      <b/>
      <u/>
      <sz val="12"/>
      <color rgb="FFFF0000"/>
      <name val="Times New Roman"/>
      <family val="1"/>
    </font>
    <font>
      <b/>
      <u/>
      <sz val="12"/>
      <color rgb="FF3333CC"/>
      <name val="Times New Roman"/>
      <family val="1"/>
    </font>
    <font>
      <sz val="11"/>
      <color rgb="FFFF0000"/>
      <name val="Times New Roman"/>
      <family val="1"/>
    </font>
    <font>
      <sz val="12"/>
      <name val="VNI-Times"/>
    </font>
    <font>
      <sz val="10"/>
      <name val="Helv"/>
      <family val="2"/>
    </font>
    <font>
      <sz val="10"/>
      <name val="Arial"/>
      <family val="2"/>
    </font>
    <font>
      <u/>
      <sz val="10"/>
      <color indexed="12"/>
      <name val="VNI-Helve"/>
    </font>
    <font>
      <b/>
      <u/>
      <sz val="14"/>
      <color indexed="8"/>
      <name val=".VnBook-AntiquaH"/>
      <family val="2"/>
    </font>
    <font>
      <i/>
      <sz val="12"/>
      <color indexed="8"/>
      <name val=".VnBook-AntiquaH"/>
      <family val="2"/>
    </font>
    <font>
      <b/>
      <sz val="12"/>
      <color indexed="8"/>
      <name val=".VnBook-Antiqua"/>
      <family val="2"/>
    </font>
    <font>
      <i/>
      <sz val="12"/>
      <color indexed="8"/>
      <name val=".VnBook-Antiqua"/>
      <family val="2"/>
    </font>
    <font>
      <sz val="12"/>
      <name val="¹UAAA¼"/>
      <family val="3"/>
      <charset val="129"/>
    </font>
    <font>
      <sz val="12"/>
      <name val="VNI-Helve"/>
    </font>
    <font>
      <b/>
      <sz val="12"/>
      <name val="Arial"/>
      <family val="2"/>
    </font>
    <font>
      <sz val="12"/>
      <name val="???"/>
      <family val="1"/>
      <charset val="129"/>
    </font>
    <font>
      <b/>
      <i/>
      <sz val="16"/>
      <name val="Helv"/>
    </font>
    <font>
      <sz val="14"/>
      <name val="뼻뮝"/>
      <family val="3"/>
      <charset val="129"/>
    </font>
    <font>
      <sz val="12"/>
      <name val="바탕체"/>
      <family val="3"/>
    </font>
    <font>
      <sz val="12"/>
      <name val="뼻뮝"/>
      <family val="1"/>
      <charset val="129"/>
    </font>
    <font>
      <sz val="12"/>
      <name val="바탕체"/>
      <family val="1"/>
      <charset val="129"/>
    </font>
    <font>
      <u/>
      <sz val="12"/>
      <color theme="10"/>
      <name val="VNI-Helve"/>
    </font>
    <font>
      <b/>
      <sz val="14"/>
      <name val="Times New Roman"/>
      <family val="1"/>
    </font>
    <font>
      <sz val="12"/>
      <name val=".VnTime"/>
      <family val="2"/>
    </font>
    <font>
      <sz val="13"/>
      <name val=".VnTime"/>
      <family val="2"/>
    </font>
    <font>
      <sz val="11"/>
      <color theme="1"/>
      <name val="Times New Roman"/>
      <family val="1"/>
    </font>
    <font>
      <sz val="10"/>
      <name val=".VnTime"/>
      <family val="2"/>
    </font>
    <font>
      <sz val="13"/>
      <name val="VNI-Times"/>
    </font>
    <font>
      <sz val="11"/>
      <color indexed="10"/>
      <name val="Times New Roman"/>
      <family val="1"/>
    </font>
    <font>
      <b/>
      <sz val="15"/>
      <name val="Times New Roman"/>
      <family val="1"/>
    </font>
    <font>
      <i/>
      <sz val="11"/>
      <name val="Times New Roman"/>
      <family val="1"/>
    </font>
    <font>
      <sz val="11"/>
      <color theme="1"/>
      <name val="Calibri"/>
      <family val="2"/>
      <charset val="163"/>
    </font>
    <font>
      <sz val="11"/>
      <color indexed="8"/>
      <name val="Calibri"/>
      <family val="2"/>
      <charset val="163"/>
    </font>
    <font>
      <b/>
      <sz val="10"/>
      <name val="SVNtimes new roman"/>
      <family val="2"/>
    </font>
    <font>
      <sz val="12"/>
      <name val="????"/>
      <family val="1"/>
      <charset val="136"/>
    </font>
    <font>
      <sz val="10"/>
      <name val="VNI-Helve-Condense"/>
    </font>
    <font>
      <sz val="12"/>
      <name val="Courier"/>
      <family val="3"/>
    </font>
    <font>
      <sz val="12"/>
      <name val="|??¢¥¢¬¨Ï"/>
      <family val="1"/>
      <charset val="129"/>
    </font>
    <font>
      <sz val="10"/>
      <name val="QBJ-??10pt"/>
      <family val="3"/>
      <charset val="129"/>
    </font>
    <font>
      <sz val="12"/>
      <color indexed="8"/>
      <name val="???"/>
      <family val="1"/>
      <charset val="129"/>
    </font>
    <font>
      <sz val="12"/>
      <name val="???"/>
    </font>
    <font>
      <sz val="11"/>
      <name val="–¾’©"/>
      <family val="1"/>
      <charset val="128"/>
    </font>
    <font>
      <sz val="14"/>
      <name val="VNTime"/>
    </font>
    <font>
      <sz val="12"/>
      <color indexed="10"/>
      <name val="VN-NTime"/>
    </font>
    <font>
      <sz val="14"/>
      <name val="VnTime"/>
      <family val="2"/>
    </font>
    <font>
      <sz val="11"/>
      <name val=".VnTime"/>
      <family val="2"/>
    </font>
    <font>
      <b/>
      <u/>
      <sz val="10"/>
      <name val="VNI-Times"/>
    </font>
    <font>
      <sz val="12"/>
      <color indexed="8"/>
      <name val="¹ÙÅÁÃ¼"/>
      <family val="1"/>
      <charset val="129"/>
    </font>
    <font>
      <sz val="11"/>
      <name val="VNtimes new roman"/>
      <family val="2"/>
    </font>
    <font>
      <sz val="12"/>
      <name val="¹ÙÅÁÃ¼"/>
      <charset val="129"/>
    </font>
    <font>
      <b/>
      <sz val="11"/>
      <name val="VNI-Aptima"/>
    </font>
    <font>
      <b/>
      <u/>
      <sz val="10"/>
      <name val="VNI-Helve"/>
    </font>
    <font>
      <sz val="11"/>
      <color indexed="10"/>
      <name val="Arial"/>
      <family val="2"/>
    </font>
    <font>
      <sz val="12"/>
      <name val="Tms Rmn"/>
    </font>
    <font>
      <sz val="11"/>
      <name val="µ¸¿ò"/>
      <charset val="129"/>
    </font>
    <font>
      <sz val="10"/>
      <name val="±¼¸²A¼"/>
      <family val="3"/>
      <charset val="129"/>
    </font>
    <font>
      <sz val="12"/>
      <name val="¹ÙÅÁÃ¼"/>
      <family val="1"/>
      <charset val="129"/>
    </font>
    <font>
      <b/>
      <sz val="10"/>
      <name val="Helv"/>
      <family val="2"/>
    </font>
    <font>
      <b/>
      <sz val="8"/>
      <color indexed="12"/>
      <name val="Arial"/>
      <family val="2"/>
    </font>
    <font>
      <sz val="8"/>
      <color indexed="8"/>
      <name val="Arial"/>
      <family val="2"/>
    </font>
    <font>
      <sz val="8"/>
      <name val="SVNtimes new roman"/>
      <family val="2"/>
    </font>
    <font>
      <sz val="10"/>
      <name val=".VnArial"/>
      <family val="2"/>
    </font>
    <font>
      <sz val="10"/>
      <name val="VNI-Aptima"/>
    </font>
    <font>
      <sz val="11"/>
      <name val="Tms Rmn"/>
    </font>
    <font>
      <sz val="11"/>
      <name val="VNI-Times"/>
    </font>
    <font>
      <sz val="10"/>
      <name val="Geneva"/>
    </font>
    <font>
      <sz val="10"/>
      <name val="BERNHARD"/>
    </font>
    <font>
      <sz val="10"/>
      <name val="Helv"/>
    </font>
    <font>
      <sz val="10"/>
      <name val="MS Serif"/>
      <family val="1"/>
    </font>
    <font>
      <sz val="8"/>
      <name val="VNI-Helve-Condense"/>
    </font>
    <font>
      <sz val="11"/>
      <name val="VNcentury Gothic"/>
      <family val="2"/>
    </font>
    <font>
      <b/>
      <sz val="15"/>
      <name val="VNcentury Gothic"/>
      <family val="2"/>
    </font>
    <font>
      <sz val="12"/>
      <name val="SVNtimes new roman"/>
      <family val="2"/>
    </font>
    <font>
      <sz val="10"/>
      <name val="SVNtimes new roman"/>
      <family val="2"/>
    </font>
    <font>
      <sz val="10"/>
      <color indexed="8"/>
      <name val="Arial"/>
      <family val="2"/>
    </font>
    <font>
      <sz val="10"/>
      <name val="MS Sans Serif"/>
      <family val="2"/>
    </font>
    <font>
      <sz val="1"/>
      <color indexed="8"/>
      <name val="Courier"/>
      <family val="1"/>
    </font>
    <font>
      <sz val="10"/>
      <name val="VnTimes2"/>
      <family val="1"/>
    </font>
    <font>
      <sz val="10"/>
      <name val="Arial CE"/>
      <charset val="238"/>
    </font>
    <font>
      <i/>
      <sz val="10"/>
      <name val="Times New Roman"/>
      <family val="1"/>
    </font>
    <font>
      <b/>
      <sz val="1"/>
      <color indexed="8"/>
      <name val="Courier"/>
      <family val="1"/>
    </font>
    <font>
      <sz val="10"/>
      <color indexed="16"/>
      <name val="MS Serif"/>
      <family val="1"/>
    </font>
    <font>
      <i/>
      <sz val="1"/>
      <color indexed="8"/>
      <name val="Courier"/>
      <family val="1"/>
    </font>
    <font>
      <sz val="9"/>
      <name val="VNI-Aptima"/>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8"/>
      <color indexed="10"/>
      <name val="VNnew Century Cond"/>
      <family val="2"/>
    </font>
    <font>
      <b/>
      <sz val="14"/>
      <color indexed="14"/>
      <name val="VNottawa"/>
      <family val="2"/>
    </font>
    <font>
      <b/>
      <sz val="16"/>
      <color indexed="14"/>
      <name val="VNottawa"/>
      <family val="2"/>
    </font>
    <font>
      <sz val="8"/>
      <color indexed="8"/>
      <name val="Helvetica"/>
      <family val="2"/>
    </font>
    <font>
      <sz val="8"/>
      <name val="Arial"/>
      <family val="2"/>
    </font>
    <font>
      <sz val="10"/>
      <name val=".VnArialH"/>
      <family val="2"/>
    </font>
    <font>
      <b/>
      <sz val="12"/>
      <name val=".VnBook-AntiquaH"/>
      <family val="2"/>
    </font>
    <font>
      <b/>
      <sz val="12"/>
      <color indexed="9"/>
      <name val="Tms Rmn"/>
    </font>
    <font>
      <b/>
      <sz val="12"/>
      <name val="Helv"/>
      <family val="2"/>
    </font>
    <font>
      <b/>
      <sz val="1"/>
      <color indexed="8"/>
      <name val="Courier New"/>
      <family val="3"/>
    </font>
    <font>
      <b/>
      <sz val="8"/>
      <name val="MS Sans Serif"/>
      <family val="2"/>
    </font>
    <font>
      <b/>
      <sz val="10"/>
      <name val=".VnTime"/>
      <family val="2"/>
    </font>
    <font>
      <b/>
      <sz val="14"/>
      <name val=".VnTimeH"/>
      <family val="2"/>
    </font>
    <font>
      <sz val="12"/>
      <name val="±¼¸²Ã¼"/>
      <family val="3"/>
      <charset val="129"/>
    </font>
    <font>
      <b/>
      <i/>
      <sz val="12"/>
      <name val=".VnAristote"/>
      <family val="2"/>
    </font>
    <font>
      <b/>
      <sz val="11"/>
      <name val="Helv"/>
      <family val="2"/>
    </font>
    <font>
      <sz val="10"/>
      <name val=".VnAvant"/>
      <family val="2"/>
    </font>
    <font>
      <sz val="12"/>
      <name val="Arial"/>
      <family val="2"/>
    </font>
    <font>
      <sz val="9"/>
      <name val="VNI-Helve-Condense"/>
    </font>
    <font>
      <sz val="7"/>
      <name val="Small Fonts"/>
      <family val="2"/>
    </font>
    <font>
      <b/>
      <sz val="12"/>
      <name val="VN-NTime"/>
    </font>
    <font>
      <sz val="10"/>
      <name val="VNvogue"/>
      <family val="2"/>
    </font>
    <font>
      <sz val="11"/>
      <color theme="1"/>
      <name val="Times New Roman"/>
      <family val="2"/>
    </font>
    <font>
      <sz val="11"/>
      <name val="VNI-Aptima"/>
    </font>
    <font>
      <sz val="10"/>
      <name val="Symbol"/>
      <family val="1"/>
      <charset val="2"/>
    </font>
    <font>
      <sz val="11"/>
      <name val="VNswitzerlandCondLight"/>
      <family val="2"/>
    </font>
    <font>
      <sz val="8"/>
      <name val="Wingdings"/>
      <charset val="2"/>
    </font>
    <font>
      <sz val="8"/>
      <name val="Helv"/>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u/>
      <sz val="9"/>
      <color indexed="12"/>
      <name val=".VnTime"/>
      <family val="2"/>
    </font>
    <font>
      <sz val="8"/>
      <name val="MS Sans Serif"/>
      <family val="2"/>
    </font>
    <font>
      <sz val="13"/>
      <name val="VNTime"/>
    </font>
    <font>
      <sz val="10.5"/>
      <name val="VNI-Helve-Condense"/>
    </font>
    <font>
      <b/>
      <sz val="10.5"/>
      <name val=".VnAvantH"/>
      <family val="2"/>
    </font>
    <font>
      <sz val="11"/>
      <color indexed="32"/>
      <name val="VNI-Times"/>
    </font>
    <font>
      <b/>
      <sz val="8"/>
      <color indexed="8"/>
      <name val="Helv"/>
    </font>
    <font>
      <sz val="13"/>
      <name val=".VnArial"/>
      <family val="2"/>
    </font>
    <font>
      <sz val="14"/>
      <name val=".VnTime"/>
      <family val="2"/>
    </font>
    <font>
      <b/>
      <sz val="10"/>
      <name val="VNI-Univer"/>
    </font>
    <font>
      <b/>
      <i/>
      <sz val="12"/>
      <name val="Times New Roman"/>
      <family val="1"/>
    </font>
    <font>
      <b/>
      <sz val="18"/>
      <name val="Times New Roman"/>
      <family val="1"/>
    </font>
    <font>
      <sz val="13"/>
      <color theme="1"/>
      <name val="Times New Roman"/>
      <family val="1"/>
    </font>
    <font>
      <b/>
      <sz val="13"/>
      <color theme="1"/>
      <name val="Times New Roman"/>
      <family val="1"/>
    </font>
    <font>
      <sz val="13"/>
      <color indexed="8"/>
      <name val="Times New Roman"/>
      <family val="1"/>
    </font>
    <font>
      <b/>
      <sz val="13"/>
      <color indexed="8"/>
      <name val="Times New Roman"/>
      <family val="1"/>
    </font>
    <font>
      <b/>
      <i/>
      <sz val="13"/>
      <name val="Times New Roman"/>
      <family val="1"/>
    </font>
    <font>
      <b/>
      <i/>
      <sz val="13"/>
      <color indexed="8"/>
      <name val="Times New Roman"/>
      <family val="1"/>
    </font>
    <font>
      <i/>
      <sz val="13"/>
      <color indexed="8"/>
      <name val="Times New Roman"/>
      <family val="1"/>
    </font>
    <font>
      <i/>
      <sz val="13"/>
      <name val="Times New Roman"/>
      <family val="1"/>
    </font>
    <font>
      <b/>
      <sz val="11"/>
      <color indexed="8"/>
      <name val="Times New Roman"/>
      <family val="1"/>
    </font>
    <font>
      <sz val="14"/>
      <color theme="1"/>
      <name val="Times New Roman"/>
      <family val="1"/>
    </font>
    <font>
      <sz val="14"/>
      <color rgb="FF000000"/>
      <name val="Times New Roman"/>
      <family val="1"/>
    </font>
    <font>
      <b/>
      <sz val="14"/>
      <color indexed="8"/>
      <name val="Times New Roman"/>
      <family val="1"/>
    </font>
    <font>
      <sz val="14"/>
      <color indexed="8"/>
      <name val="Times New Roman"/>
      <family val="1"/>
    </font>
    <font>
      <b/>
      <sz val="13"/>
      <color indexed="8"/>
      <name val="Arial"/>
      <family val="2"/>
    </font>
    <font>
      <b/>
      <sz val="14"/>
      <color theme="1"/>
      <name val="Times New Roman"/>
      <family val="1"/>
    </font>
    <font>
      <b/>
      <sz val="16"/>
      <color theme="1"/>
      <name val="Times New Roman"/>
      <family val="1"/>
    </font>
    <font>
      <sz val="11"/>
      <color indexed="8"/>
      <name val="Calibri"/>
      <family val="2"/>
    </font>
    <font>
      <sz val="13"/>
      <color indexed="8"/>
      <name val="VNI-Times"/>
    </font>
    <font>
      <b/>
      <sz val="22"/>
      <color theme="1"/>
      <name val="Times New Roman"/>
      <family val="1"/>
    </font>
    <font>
      <sz val="12"/>
      <name val="VNTime"/>
    </font>
    <font>
      <sz val="11"/>
      <name val=".VnAvant"/>
      <family val="2"/>
    </font>
    <font>
      <sz val="14"/>
      <name val=".Vn3DH"/>
      <family val="2"/>
    </font>
    <font>
      <b/>
      <sz val="12"/>
      <name val=".VnTime"/>
      <family val="2"/>
    </font>
    <font>
      <sz val="10"/>
      <name val=".VnArial Narrow"/>
      <family val="2"/>
    </font>
    <font>
      <sz val="9.5"/>
      <name val=".VnBlackH"/>
      <family val="2"/>
    </font>
    <font>
      <b/>
      <sz val="10"/>
      <name val=".VnBahamasBH"/>
      <family val="2"/>
    </font>
    <font>
      <b/>
      <sz val="11"/>
      <name val=".VnArialH"/>
      <family val="2"/>
    </font>
    <font>
      <b/>
      <sz val="10"/>
      <name val=".VnArialH"/>
      <family val="2"/>
    </font>
    <font>
      <sz val="10"/>
      <name val="VNtimes new roman"/>
      <family val="1"/>
    </font>
    <font>
      <sz val="8"/>
      <name val=".VnTime"/>
      <family val="2"/>
    </font>
    <font>
      <b/>
      <sz val="8"/>
      <name val="VN Helvetica"/>
    </font>
    <font>
      <b/>
      <sz val="10"/>
      <name val="VN AvantGBook"/>
    </font>
    <font>
      <b/>
      <sz val="16"/>
      <name val=".VnTime"/>
      <family val="2"/>
    </font>
    <font>
      <sz val="9"/>
      <name val=".VnTime"/>
      <family val="2"/>
    </font>
    <font>
      <b/>
      <i/>
      <sz val="12"/>
      <name val=".VnTime"/>
      <family val="2"/>
    </font>
    <font>
      <sz val="14"/>
      <name val=".VnArial"/>
      <family val="2"/>
    </font>
    <font>
      <sz val="16"/>
      <name val="AngsanaUPC"/>
      <family val="3"/>
    </font>
    <font>
      <sz val="10"/>
      <name val=" "/>
      <family val="1"/>
      <charset val="136"/>
    </font>
    <font>
      <sz val="12"/>
      <name val="돋움체"/>
      <family val="3"/>
      <charset val="129"/>
    </font>
    <font>
      <sz val="11"/>
      <name val="돋움"/>
      <family val="3"/>
      <charset val="129"/>
    </font>
    <font>
      <sz val="10"/>
      <name val="QBJ-명조10pt"/>
      <family val="3"/>
      <charset val="129"/>
    </font>
    <font>
      <sz val="12"/>
      <color indexed="8"/>
      <name val="바탕체"/>
      <family val="1"/>
      <charset val="129"/>
    </font>
    <font>
      <sz val="10"/>
      <name val="돋움체"/>
      <family val="3"/>
      <charset val="129"/>
    </font>
    <font>
      <sz val="9"/>
      <name val="Arial"/>
      <family val="2"/>
    </font>
    <font>
      <i/>
      <sz val="12"/>
      <name val="Times New Roman"/>
      <family val="1"/>
    </font>
    <font>
      <sz val="11"/>
      <color theme="1"/>
      <name val="Calibri"/>
      <family val="2"/>
      <scheme val="minor"/>
    </font>
    <font>
      <sz val="10"/>
      <name val="Arial"/>
      <family val="2"/>
    </font>
    <font>
      <sz val="11"/>
      <color theme="1"/>
      <name val="Calibri"/>
      <family val="2"/>
    </font>
    <font>
      <sz val="11"/>
      <color theme="0"/>
      <name val="Calibri"/>
      <family val="2"/>
    </font>
    <font>
      <sz val="11"/>
      <color rgb="FF9C0006"/>
      <name val="Calibri"/>
      <family val="2"/>
    </font>
    <font>
      <b/>
      <sz val="11"/>
      <color rgb="FFFA7D00"/>
      <name val="Calibri"/>
      <family val="2"/>
    </font>
    <font>
      <b/>
      <sz val="11"/>
      <color theme="0"/>
      <name val="Calibri"/>
      <family val="2"/>
    </font>
    <font>
      <i/>
      <sz val="11"/>
      <color rgb="FF7F7F7F"/>
      <name val="Calibri"/>
      <family val="2"/>
    </font>
    <font>
      <sz val="11"/>
      <color rgb="FF006100"/>
      <name val="Calibri"/>
      <family val="2"/>
    </font>
    <font>
      <b/>
      <sz val="15"/>
      <color theme="3"/>
      <name val="Calibri"/>
      <family val="2"/>
    </font>
    <font>
      <b/>
      <sz val="13"/>
      <color theme="3"/>
      <name val="Calibri"/>
      <family val="2"/>
    </font>
    <font>
      <b/>
      <sz val="11"/>
      <color theme="3"/>
      <name val="Calibri"/>
      <family val="2"/>
    </font>
    <font>
      <sz val="11"/>
      <color rgb="FF3F3F76"/>
      <name val="Calibri"/>
      <family val="2"/>
    </font>
    <font>
      <sz val="11"/>
      <color rgb="FFFA7D00"/>
      <name val="Calibri"/>
      <family val="2"/>
    </font>
    <font>
      <sz val="11"/>
      <color rgb="FF9C6500"/>
      <name val="Calibri"/>
      <family val="2"/>
    </font>
    <font>
      <sz val="11"/>
      <color indexed="8"/>
      <name val="Calibri"/>
      <family val="2"/>
    </font>
    <font>
      <b/>
      <sz val="11"/>
      <color rgb="FF3F3F3F"/>
      <name val="Calibri"/>
      <family val="2"/>
    </font>
    <font>
      <b/>
      <sz val="18"/>
      <color theme="3"/>
      <name val="Cambria"/>
      <family val="1"/>
    </font>
    <font>
      <b/>
      <sz val="11"/>
      <color theme="1"/>
      <name val="Calibri"/>
      <family val="2"/>
    </font>
    <font>
      <sz val="11"/>
      <color rgb="FFFF0000"/>
      <name val="Calibri"/>
      <family val="2"/>
    </font>
    <font>
      <sz val="11"/>
      <color indexed="8"/>
      <name val="Times New Roman"/>
      <family val="2"/>
    </font>
    <font>
      <sz val="10"/>
      <name val="Arial"/>
      <family val="2"/>
    </font>
    <font>
      <b/>
      <sz val="18"/>
      <color indexed="8"/>
      <name val="Times New Roman"/>
      <family val="1"/>
    </font>
    <font>
      <i/>
      <sz val="14"/>
      <color theme="1"/>
      <name val="Times New Roman"/>
      <family val="1"/>
    </font>
    <font>
      <b/>
      <sz val="13"/>
      <color indexed="10"/>
      <name val="Times New Roman"/>
      <family val="1"/>
    </font>
    <font>
      <sz val="13"/>
      <color indexed="10"/>
      <name val="Times New Roman"/>
      <family val="1"/>
    </font>
    <font>
      <sz val="12"/>
      <color indexed="8"/>
      <name val="Times New Roman"/>
      <family val="1"/>
    </font>
    <font>
      <b/>
      <sz val="12"/>
      <color indexed="8"/>
      <name val="Times New Roman"/>
      <family val="1"/>
    </font>
    <font>
      <sz val="9"/>
      <color indexed="8"/>
      <name val="Times New Roman"/>
      <family val="1"/>
    </font>
    <font>
      <b/>
      <sz val="8"/>
      <name val="Times New Roman"/>
      <family val="1"/>
    </font>
    <font>
      <b/>
      <sz val="11"/>
      <name val="Calibri"/>
      <family val="2"/>
      <charset val="163"/>
      <scheme val="minor"/>
    </font>
    <font>
      <sz val="10"/>
      <name val="Times New Roman"/>
      <family val="1"/>
      <charset val="163"/>
    </font>
    <font>
      <b/>
      <sz val="12"/>
      <name val="Times New Roman"/>
      <family val="1"/>
      <charset val="163"/>
    </font>
    <font>
      <sz val="12"/>
      <name val="Times New Roman"/>
      <family val="1"/>
      <charset val="163"/>
    </font>
  </fonts>
  <fills count="58">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43"/>
        <bgColor indexed="64"/>
      </patternFill>
    </fill>
    <fill>
      <patternFill patternType="solid">
        <fgColor rgb="FFFFFF00"/>
        <bgColor indexed="64"/>
      </patternFill>
    </fill>
    <fill>
      <patternFill patternType="solid">
        <fgColor rgb="FF66FF99"/>
        <bgColor indexed="64"/>
      </patternFill>
    </fill>
    <fill>
      <patternFill patternType="solid">
        <fgColor indexed="22"/>
        <bgColor indexed="31"/>
      </patternFill>
    </fill>
    <fill>
      <patternFill patternType="solid">
        <fgColor indexed="9"/>
        <bgColor indexed="9"/>
      </patternFill>
    </fill>
    <fill>
      <patternFill patternType="solid">
        <fgColor indexed="65"/>
        <bgColor indexed="64"/>
      </patternFill>
    </fill>
    <fill>
      <patternFill patternType="solid">
        <fgColor indexed="40"/>
        <bgColor indexed="64"/>
      </patternFill>
    </fill>
    <fill>
      <patternFill patternType="darkVertica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8" tint="0.59999389629810485"/>
        <bgColor indexed="64"/>
      </patternFill>
    </fill>
    <fill>
      <patternFill patternType="solid">
        <fgColor theme="4"/>
        <bgColor indexed="64"/>
      </patternFill>
    </fill>
    <fill>
      <patternFill patternType="solid">
        <fgColor indexed="31"/>
        <bgColor indexed="64"/>
      </patternFill>
    </fill>
    <fill>
      <patternFill patternType="solid">
        <fgColor indexed="46"/>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indexed="1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39994506668294322"/>
        <bgColor indexed="64"/>
      </patternFill>
    </fill>
    <fill>
      <patternFill patternType="solid">
        <fgColor theme="5" tint="0.39994506668294322"/>
        <bgColor indexed="64"/>
      </patternFill>
    </fill>
    <fill>
      <patternFill patternType="solid">
        <fgColor indexed="36"/>
        <bgColor indexed="64"/>
      </patternFill>
    </fill>
    <fill>
      <patternFill patternType="solid">
        <fgColor theme="8" tint="0.39994506668294322"/>
        <bgColor indexed="64"/>
      </patternFill>
    </fill>
    <fill>
      <patternFill patternType="solid">
        <fgColor indexed="52"/>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s>
  <borders count="86">
    <border>
      <left/>
      <right/>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bottom style="hair">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dotted">
        <color indexed="64"/>
      </top>
      <bottom/>
      <diagonal/>
    </border>
    <border>
      <left/>
      <right/>
      <top style="double">
        <color indexed="64"/>
      </top>
      <bottom style="double">
        <color indexed="64"/>
      </bottom>
      <diagonal/>
    </border>
    <border>
      <left style="thick">
        <color indexed="64"/>
      </left>
      <right/>
      <top style="thick">
        <color indexed="64"/>
      </top>
      <bottom/>
      <diagonal/>
    </border>
    <border>
      <left style="medium">
        <color indexed="10"/>
      </left>
      <right style="medium">
        <color indexed="10"/>
      </right>
      <top style="hair">
        <color indexed="10"/>
      </top>
      <bottom style="hair">
        <color indexed="10"/>
      </bottom>
      <diagonal/>
    </border>
    <border>
      <left/>
      <right/>
      <top/>
      <bottom style="medium">
        <color indexed="64"/>
      </bottom>
      <diagonal/>
    </border>
    <border>
      <left style="thin">
        <color indexed="64"/>
      </left>
      <right style="thin">
        <color indexed="64"/>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0"/>
      </right>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style="medium">
        <color indexed="9"/>
      </left>
      <right style="medium">
        <color indexed="9"/>
      </right>
      <top style="medium">
        <color indexed="9"/>
      </top>
      <bottom style="medium">
        <color indexed="9"/>
      </bottom>
      <diagonal/>
    </border>
    <border>
      <left style="hair">
        <color indexed="64"/>
      </left>
      <right/>
      <top/>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right/>
      <top/>
      <bottom style="thick">
        <color theme="4"/>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3999450666829432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115">
    <xf numFmtId="0" fontId="0" fillId="0" borderId="0"/>
    <xf numFmtId="43" fontId="6" fillId="0" borderId="0" applyFont="0" applyFill="0" applyBorder="0" applyAlignment="0" applyProtection="0"/>
    <xf numFmtId="43" fontId="29" fillId="0" borderId="0" applyFont="0" applyFill="0" applyBorder="0" applyAlignment="0" applyProtection="0"/>
    <xf numFmtId="0" fontId="29" fillId="0" borderId="0"/>
    <xf numFmtId="0" fontId="8" fillId="0" borderId="0"/>
    <xf numFmtId="175" fontId="46" fillId="0" borderId="0" applyFont="0" applyFill="0" applyBorder="0" applyAlignment="0" applyProtection="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176" fontId="46" fillId="0" borderId="0" applyFont="0" applyFill="0" applyBorder="0" applyAlignment="0" applyProtection="0"/>
    <xf numFmtId="0" fontId="46" fillId="0" borderId="0"/>
    <xf numFmtId="0" fontId="48" fillId="4" borderId="0"/>
    <xf numFmtId="0" fontId="49" fillId="4" borderId="0"/>
    <xf numFmtId="0" fontId="50" fillId="4" borderId="0"/>
    <xf numFmtId="0" fontId="51" fillId="0" borderId="0">
      <alignment wrapText="1"/>
    </xf>
    <xf numFmtId="0" fontId="52" fillId="0" borderId="0" applyFont="0" applyFill="0" applyBorder="0" applyAlignment="0" applyProtection="0"/>
    <xf numFmtId="0" fontId="52" fillId="0" borderId="0" applyFont="0" applyFill="0" applyBorder="0" applyAlignment="0" applyProtection="0"/>
    <xf numFmtId="0" fontId="52" fillId="0" borderId="0"/>
    <xf numFmtId="0" fontId="52" fillId="0" borderId="0"/>
    <xf numFmtId="43" fontId="8" fillId="0" borderId="0" applyFont="0" applyFill="0" applyBorder="0" applyAlignment="0" applyProtection="0"/>
    <xf numFmtId="43" fontId="8"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xf numFmtId="43" fontId="53" fillId="0" borderId="0" applyFont="0" applyFill="0" applyBorder="0" applyAlignment="0" applyProtection="0"/>
    <xf numFmtId="43" fontId="46" fillId="0" borderId="0" applyFont="0" applyFill="0" applyBorder="0" applyAlignment="0" applyProtection="0"/>
    <xf numFmtId="43" fontId="44" fillId="0" borderId="0" applyFont="0" applyFill="0" applyBorder="0" applyAlignment="0" applyProtection="0"/>
    <xf numFmtId="43" fontId="8" fillId="0" borderId="0" applyFont="0" applyFill="0" applyBorder="0" applyAlignment="0" applyProtection="0"/>
    <xf numFmtId="3" fontId="46" fillId="0" borderId="0" applyFont="0" applyFill="0" applyBorder="0" applyAlignment="0" applyProtection="0"/>
    <xf numFmtId="177" fontId="46" fillId="0" borderId="0" applyFont="0" applyFill="0" applyBorder="0" applyAlignment="0" applyProtection="0"/>
    <xf numFmtId="0" fontId="46" fillId="0" borderId="0" applyFont="0" applyFill="0" applyBorder="0" applyAlignment="0" applyProtection="0"/>
    <xf numFmtId="2" fontId="46" fillId="0" borderId="0" applyFont="0" applyFill="0" applyBorder="0" applyAlignment="0" applyProtection="0"/>
    <xf numFmtId="0" fontId="54" fillId="0" borderId="11" applyNumberFormat="0" applyAlignment="0" applyProtection="0">
      <alignment horizontal="left" vertical="center"/>
    </xf>
    <xf numFmtId="0" fontId="54" fillId="0" borderId="39">
      <alignment horizontal="left" vertical="center"/>
    </xf>
    <xf numFmtId="0" fontId="47" fillId="0" borderId="0" applyNumberFormat="0" applyFill="0" applyBorder="0" applyAlignment="0" applyProtection="0">
      <alignment vertical="top"/>
      <protection locked="0"/>
    </xf>
    <xf numFmtId="0" fontId="61" fillId="0" borderId="0" applyNumberFormat="0" applyFill="0" applyBorder="0" applyAlignment="0" applyProtection="0"/>
    <xf numFmtId="0" fontId="55" fillId="0" borderId="0"/>
    <xf numFmtId="178" fontId="56" fillId="0" borderId="0"/>
    <xf numFmtId="0" fontId="8" fillId="0" borderId="0"/>
    <xf numFmtId="0" fontId="29" fillId="0" borderId="0"/>
    <xf numFmtId="0" fontId="53" fillId="0" borderId="0"/>
    <xf numFmtId="0" fontId="53" fillId="0" borderId="0"/>
    <xf numFmtId="0" fontId="8" fillId="0" borderId="0"/>
    <xf numFmtId="0" fontId="29" fillId="0" borderId="0"/>
    <xf numFmtId="0" fontId="53" fillId="0" borderId="0"/>
    <xf numFmtId="0" fontId="46" fillId="0" borderId="0"/>
    <xf numFmtId="0" fontId="8" fillId="0" borderId="0"/>
    <xf numFmtId="0" fontId="44" fillId="0" borderId="0"/>
    <xf numFmtId="0" fontId="8" fillId="0" borderId="0"/>
    <xf numFmtId="0" fontId="45" fillId="0" borderId="0"/>
    <xf numFmtId="40" fontId="57" fillId="0" borderId="0" applyFont="0" applyFill="0" applyBorder="0" applyAlignment="0" applyProtection="0"/>
    <xf numFmtId="38"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9" fontId="58" fillId="0" borderId="0" applyFont="0" applyFill="0" applyBorder="0" applyAlignment="0" applyProtection="0"/>
    <xf numFmtId="0" fontId="59" fillId="0" borderId="0"/>
    <xf numFmtId="0" fontId="64" fillId="0" borderId="0"/>
    <xf numFmtId="0" fontId="5" fillId="0" borderId="0"/>
    <xf numFmtId="0" fontId="5" fillId="0" borderId="0"/>
    <xf numFmtId="43" fontId="46" fillId="0" borderId="0" applyFont="0" applyFill="0" applyBorder="0" applyAlignment="0" applyProtection="0"/>
    <xf numFmtId="0" fontId="67" fillId="0" borderId="0"/>
    <xf numFmtId="0" fontId="24" fillId="0" borderId="0"/>
    <xf numFmtId="43" fontId="24" fillId="0" borderId="0" applyFont="0" applyFill="0" applyBorder="0" applyAlignment="0" applyProtection="0"/>
    <xf numFmtId="0" fontId="14" fillId="0" borderId="0"/>
    <xf numFmtId="0" fontId="46" fillId="0" borderId="0"/>
    <xf numFmtId="0" fontId="44" fillId="0" borderId="0"/>
    <xf numFmtId="43" fontId="6" fillId="0" borderId="0" applyFont="0" applyFill="0" applyBorder="0" applyAlignment="0" applyProtection="0"/>
    <xf numFmtId="0" fontId="71" fillId="0" borderId="0"/>
    <xf numFmtId="0" fontId="29" fillId="0" borderId="0"/>
    <xf numFmtId="9" fontId="72" fillId="0" borderId="0" applyFont="0" applyFill="0" applyBorder="0" applyAlignment="0" applyProtection="0"/>
    <xf numFmtId="165" fontId="72" fillId="0" borderId="0" applyFont="0" applyFill="0" applyBorder="0" applyAlignment="0" applyProtection="0"/>
    <xf numFmtId="187" fontId="44" fillId="0" borderId="0" applyFont="0" applyFill="0" applyBorder="0" applyAlignment="0" applyProtection="0"/>
    <xf numFmtId="0" fontId="63" fillId="0" borderId="0" applyNumberFormat="0" applyFill="0" applyBorder="0" applyAlignment="0" applyProtection="0"/>
    <xf numFmtId="188" fontId="73" fillId="0" borderId="44">
      <alignment horizontal="center"/>
      <protection hidden="1"/>
    </xf>
    <xf numFmtId="188" fontId="73" fillId="0" borderId="45">
      <alignment horizontal="center"/>
      <protection hidden="1"/>
    </xf>
    <xf numFmtId="182" fontId="46" fillId="0" borderId="0" applyFon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Font="0" applyFill="0" applyBorder="0" applyAlignment="0" applyProtection="0"/>
    <xf numFmtId="0" fontId="46" fillId="0" borderId="0" applyFont="0" applyFill="0" applyBorder="0" applyAlignment="0" applyProtection="0"/>
    <xf numFmtId="179" fontId="74" fillId="0" borderId="0" applyFont="0" applyFill="0" applyBorder="0" applyAlignment="0" applyProtection="0"/>
    <xf numFmtId="180" fontId="7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190" fontId="75" fillId="0" borderId="0" applyFill="0" applyBorder="0" applyAlignment="0" applyProtection="0"/>
    <xf numFmtId="6" fontId="76" fillId="0" borderId="0" applyFont="0" applyFill="0" applyBorder="0" applyAlignment="0" applyProtection="0"/>
    <xf numFmtId="181" fontId="46"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190" fontId="75" fillId="0" borderId="0" applyFill="0" applyBorder="0" applyAlignment="0" applyProtection="0"/>
    <xf numFmtId="0" fontId="46" fillId="0" borderId="0" applyFont="0" applyFill="0" applyBorder="0" applyAlignment="0" applyProtection="0"/>
    <xf numFmtId="0" fontId="46" fillId="0" borderId="0" applyFont="0" applyFill="0" applyBorder="0" applyAlignment="0" applyProtection="0"/>
    <xf numFmtId="191" fontId="75" fillId="0" borderId="0" applyFill="0" applyBorder="0" applyAlignment="0" applyProtection="0"/>
    <xf numFmtId="0" fontId="77" fillId="0" borderId="0"/>
    <xf numFmtId="192" fontId="78" fillId="0" borderId="0" applyFill="0" applyBorder="0" applyProtection="0">
      <alignment vertical="center"/>
    </xf>
    <xf numFmtId="193" fontId="79" fillId="0" borderId="0" applyFill="0" applyBorder="0" applyProtection="0">
      <alignment vertical="center"/>
      <protection locked="0"/>
    </xf>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194"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6" fontId="75" fillId="0" borderId="0" applyFill="0" applyBorder="0" applyAlignment="0" applyProtection="0"/>
    <xf numFmtId="197" fontId="24" fillId="0" borderId="0" applyFont="0" applyFill="0" applyBorder="0" applyAlignment="0" applyProtection="0"/>
    <xf numFmtId="0" fontId="75" fillId="0" borderId="0" applyFill="0" applyBorder="0" applyAlignment="0" applyProtection="0"/>
    <xf numFmtId="0" fontId="66" fillId="0" borderId="0" applyNumberFormat="0" applyFill="0" applyBorder="0" applyAlignment="0" applyProtection="0"/>
    <xf numFmtId="191" fontId="75" fillId="0" borderId="0" applyFill="0" applyBorder="0" applyAlignment="0" applyProtection="0"/>
    <xf numFmtId="191" fontId="75" fillId="0" borderId="0" applyFill="0" applyBorder="0" applyAlignment="0" applyProtection="0"/>
    <xf numFmtId="191" fontId="75" fillId="0" borderId="0" applyFill="0" applyBorder="0" applyAlignment="0" applyProtection="0"/>
    <xf numFmtId="191" fontId="75" fillId="0" borderId="0" applyFill="0" applyBorder="0" applyAlignment="0" applyProtection="0"/>
    <xf numFmtId="191" fontId="75" fillId="0" borderId="0" applyFill="0" applyBorder="0" applyAlignment="0" applyProtection="0"/>
    <xf numFmtId="191" fontId="75" fillId="0" borderId="0" applyFill="0" applyBorder="0" applyAlignment="0" applyProtection="0"/>
    <xf numFmtId="181"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198" fontId="63"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0" fontId="66" fillId="0" borderId="0" applyNumberFormat="0" applyFill="0" applyBorder="0" applyAlignment="0" applyProtection="0"/>
    <xf numFmtId="0" fontId="45" fillId="0" borderId="0"/>
    <xf numFmtId="0" fontId="46" fillId="0" borderId="0"/>
    <xf numFmtId="42" fontId="24" fillId="0" borderId="0" applyFont="0" applyFill="0" applyBorder="0" applyAlignment="0" applyProtection="0"/>
    <xf numFmtId="200" fontId="24" fillId="0" borderId="0" applyFont="0" applyFill="0" applyBorder="0" applyAlignment="0" applyProtection="0"/>
    <xf numFmtId="201" fontId="44" fillId="0" borderId="0" applyFont="0" applyFill="0" applyBorder="0" applyAlignment="0" applyProtection="0"/>
    <xf numFmtId="202" fontId="75" fillId="0" borderId="0" applyFill="0" applyBorder="0" applyAlignment="0" applyProtection="0"/>
    <xf numFmtId="203" fontId="75" fillId="0" borderId="0" applyFill="0" applyBorder="0" applyAlignment="0" applyProtection="0"/>
    <xf numFmtId="42" fontId="24" fillId="0" borderId="0" applyFont="0" applyFill="0" applyBorder="0" applyAlignment="0" applyProtection="0"/>
    <xf numFmtId="191" fontId="75" fillId="0" borderId="0" applyFill="0" applyBorder="0" applyAlignment="0" applyProtection="0"/>
    <xf numFmtId="204" fontId="24" fillId="0" borderId="0" applyFont="0" applyFill="0" applyBorder="0" applyAlignment="0" applyProtection="0"/>
    <xf numFmtId="205" fontId="24" fillId="0" borderId="0" applyFont="0" applyFill="0" applyBorder="0" applyAlignment="0" applyProtection="0"/>
    <xf numFmtId="206" fontId="46" fillId="0" borderId="0" applyFont="0" applyFill="0" applyBorder="0" applyAlignment="0" applyProtection="0"/>
    <xf numFmtId="205" fontId="24" fillId="0" borderId="0" applyFont="0" applyFill="0" applyBorder="0" applyAlignment="0" applyProtection="0"/>
    <xf numFmtId="207"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9" fontId="24" fillId="0" borderId="0" applyFont="0" applyFill="0" applyBorder="0" applyAlignment="0" applyProtection="0"/>
    <xf numFmtId="42" fontId="24" fillId="0" borderId="0" applyFont="0" applyFill="0" applyBorder="0" applyAlignment="0" applyProtection="0"/>
    <xf numFmtId="210" fontId="24" fillId="0" borderId="0" applyFont="0" applyFill="0" applyBorder="0" applyAlignment="0" applyProtection="0"/>
    <xf numFmtId="21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202" fontId="75" fillId="0" borderId="0" applyFill="0" applyBorder="0" applyAlignment="0" applyProtection="0"/>
    <xf numFmtId="20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9"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0" fontId="66" fillId="0" borderId="0" applyNumberFormat="0" applyFill="0" applyBorder="0" applyAlignment="0" applyProtection="0"/>
    <xf numFmtId="196" fontId="75" fillId="0" borderId="0" applyFill="0" applyBorder="0" applyAlignment="0" applyProtection="0"/>
    <xf numFmtId="196"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01" fontId="4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12" fontId="24" fillId="0" borderId="0" applyFont="0" applyFill="0" applyBorder="0" applyAlignment="0" applyProtection="0"/>
    <xf numFmtId="181" fontId="24" fillId="0" borderId="0" applyFont="0" applyFill="0" applyBorder="0" applyAlignment="0" applyProtection="0"/>
    <xf numFmtId="213" fontId="24" fillId="0" borderId="0" applyFont="0" applyFill="0" applyBorder="0" applyAlignment="0" applyProtection="0"/>
    <xf numFmtId="201" fontId="4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5" fontId="24" fillId="0" borderId="0" applyFont="0" applyFill="0" applyBorder="0" applyAlignment="0" applyProtection="0"/>
    <xf numFmtId="203"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1" fontId="75" fillId="0" borderId="0" applyFill="0" applyBorder="0" applyAlignment="0" applyProtection="0"/>
    <xf numFmtId="191" fontId="75" fillId="0" borderId="0" applyFill="0" applyBorder="0" applyAlignment="0" applyProtection="0"/>
    <xf numFmtId="181" fontId="24" fillId="0" borderId="0" applyFont="0" applyFill="0" applyBorder="0" applyAlignment="0" applyProtection="0"/>
    <xf numFmtId="205" fontId="24" fillId="0" borderId="0" applyFont="0" applyFill="0" applyBorder="0" applyAlignment="0" applyProtection="0"/>
    <xf numFmtId="208"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91" fontId="75" fillId="0" borderId="0" applyFill="0" applyBorder="0" applyAlignment="0" applyProtection="0"/>
    <xf numFmtId="181" fontId="24" fillId="0" borderId="0" applyFon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191" fontId="75" fillId="0" borderId="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215"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7" fontId="4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181" fontId="44" fillId="0" borderId="0" applyFont="0" applyFill="0" applyBorder="0" applyAlignment="0" applyProtection="0"/>
    <xf numFmtId="191" fontId="75" fillId="0" borderId="0" applyFill="0" applyBorder="0" applyAlignment="0" applyProtection="0"/>
    <xf numFmtId="181" fontId="44" fillId="0" borderId="0" applyFont="0" applyFill="0" applyBorder="0" applyAlignment="0" applyProtection="0"/>
    <xf numFmtId="207"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91" fontId="75" fillId="0" borderId="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7" fontId="44" fillId="0" borderId="0" applyFont="0" applyFill="0" applyBorder="0" applyAlignment="0" applyProtection="0"/>
    <xf numFmtId="217" fontId="75" fillId="0" borderId="0" applyFill="0" applyBorder="0" applyAlignment="0" applyProtection="0"/>
    <xf numFmtId="218"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9" fontId="75" fillId="0" borderId="0" applyFill="0" applyBorder="0" applyAlignment="0" applyProtection="0"/>
    <xf numFmtId="219"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0" fontId="4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22"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2" fontId="75" fillId="0" borderId="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5" fontId="24" fillId="0" borderId="0" applyFont="0" applyFill="0" applyBorder="0" applyAlignment="0" applyProtection="0"/>
    <xf numFmtId="222"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7" fontId="24" fillId="0" borderId="0" applyFont="0" applyFill="0" applyBorder="0" applyAlignment="0" applyProtection="0"/>
    <xf numFmtId="228"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5" fontId="24" fillId="0" borderId="0" applyFont="0" applyFill="0" applyBorder="0" applyAlignment="0" applyProtection="0"/>
    <xf numFmtId="234"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6" fontId="75" fillId="0" borderId="0" applyFill="0" applyBorder="0" applyAlignment="0" applyProtection="0"/>
    <xf numFmtId="180" fontId="24" fillId="0" borderId="0" applyFont="0" applyFill="0" applyBorder="0" applyAlignment="0" applyProtection="0"/>
    <xf numFmtId="228" fontId="75" fillId="0" borderId="0" applyFill="0" applyBorder="0" applyAlignment="0" applyProtection="0"/>
    <xf numFmtId="237" fontId="24" fillId="0" borderId="0" applyFont="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38" fontId="24" fillId="0" borderId="0" applyFont="0" applyFill="0" applyBorder="0" applyAlignment="0" applyProtection="0"/>
    <xf numFmtId="0" fontId="75" fillId="0" borderId="0" applyFill="0" applyBorder="0" applyAlignment="0" applyProtection="0"/>
    <xf numFmtId="0" fontId="75" fillId="0" borderId="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40" fontId="46"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229"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75" fillId="0" borderId="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237" fontId="24" fillId="0" borderId="0" applyFont="0" applyFill="0" applyBorder="0" applyAlignment="0" applyProtection="0"/>
    <xf numFmtId="222" fontId="75" fillId="0" borderId="0" applyFill="0" applyBorder="0" applyAlignment="0" applyProtection="0"/>
    <xf numFmtId="43"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42" fontId="75" fillId="0" borderId="0" applyFill="0" applyBorder="0" applyAlignment="0" applyProtection="0"/>
    <xf numFmtId="235" fontId="75" fillId="0" borderId="0" applyFill="0" applyBorder="0" applyAlignment="0" applyProtection="0"/>
    <xf numFmtId="238"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44" fontId="24" fillId="0" borderId="0" applyFont="0" applyFill="0" applyBorder="0" applyAlignment="0" applyProtection="0"/>
    <xf numFmtId="243" fontId="24" fillId="0" borderId="0" applyFont="0" applyFill="0" applyBorder="0" applyAlignment="0" applyProtection="0"/>
    <xf numFmtId="243" fontId="24" fillId="0" borderId="0" applyFont="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5" fontId="75" fillId="0" borderId="0" applyFill="0" applyBorder="0" applyAlignment="0" applyProtection="0"/>
    <xf numFmtId="245"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9" fontId="24" fillId="0" borderId="0" applyFont="0" applyFill="0" applyBorder="0" applyAlignment="0" applyProtection="0"/>
    <xf numFmtId="246" fontId="24" fillId="0" borderId="0" applyFont="0" applyFill="0" applyBorder="0" applyAlignment="0" applyProtection="0"/>
    <xf numFmtId="237" fontId="24" fillId="0" borderId="0" applyFont="0" applyFill="0" applyBorder="0" applyAlignment="0" applyProtection="0"/>
    <xf numFmtId="243" fontId="24" fillId="0" borderId="0" applyFont="0" applyFill="0" applyBorder="0" applyAlignment="0" applyProtection="0"/>
    <xf numFmtId="237" fontId="24" fillId="0" borderId="0" applyFont="0" applyFill="0" applyBorder="0" applyAlignment="0" applyProtection="0"/>
    <xf numFmtId="228" fontId="75" fillId="0" borderId="0" applyFill="0" applyBorder="0" applyAlignment="0" applyProtection="0"/>
    <xf numFmtId="228"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7" fontId="24" fillId="0" borderId="0" applyFont="0" applyFill="0" applyBorder="0" applyAlignment="0" applyProtection="0"/>
    <xf numFmtId="229"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29" fontId="24" fillId="0" borderId="0" applyFont="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36" fontId="75" fillId="0" borderId="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46"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249" fontId="24" fillId="0" borderId="0" applyFont="0" applyFill="0" applyBorder="0" applyAlignment="0" applyProtection="0"/>
    <xf numFmtId="242" fontId="75" fillId="0" borderId="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50" fontId="24" fillId="0" borderId="0" applyFont="0" applyFill="0" applyBorder="0" applyAlignment="0" applyProtection="0"/>
    <xf numFmtId="251"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52" fontId="75" fillId="0" borderId="0" applyFill="0" applyBorder="0" applyAlignment="0" applyProtection="0"/>
    <xf numFmtId="25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37" fontId="24" fillId="0" borderId="0" applyFont="0" applyFill="0" applyBorder="0" applyAlignment="0" applyProtection="0"/>
    <xf numFmtId="245"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79" fontId="44" fillId="0" borderId="0" applyFont="0" applyFill="0" applyBorder="0" applyAlignment="0" applyProtection="0"/>
    <xf numFmtId="253" fontId="75" fillId="0" borderId="0" applyFill="0" applyBorder="0" applyAlignment="0" applyProtection="0"/>
    <xf numFmtId="200" fontId="24" fillId="0" borderId="0" applyFont="0" applyFill="0" applyBorder="0" applyAlignment="0" applyProtection="0"/>
    <xf numFmtId="191"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201" fontId="44" fillId="0" borderId="0" applyFont="0" applyFill="0" applyBorder="0" applyAlignment="0" applyProtection="0"/>
    <xf numFmtId="202" fontId="75" fillId="0" borderId="0" applyFill="0" applyBorder="0" applyAlignment="0" applyProtection="0"/>
    <xf numFmtId="203" fontId="75" fillId="0" borderId="0" applyFill="0" applyBorder="0" applyAlignment="0" applyProtection="0"/>
    <xf numFmtId="42" fontId="24" fillId="0" borderId="0" applyFont="0" applyFill="0" applyBorder="0" applyAlignment="0" applyProtection="0"/>
    <xf numFmtId="191" fontId="75" fillId="0" borderId="0" applyFill="0" applyBorder="0" applyAlignment="0" applyProtection="0"/>
    <xf numFmtId="204" fontId="24" fillId="0" borderId="0" applyFont="0" applyFill="0" applyBorder="0" applyAlignment="0" applyProtection="0"/>
    <xf numFmtId="205" fontId="24" fillId="0" borderId="0" applyFont="0" applyFill="0" applyBorder="0" applyAlignment="0" applyProtection="0"/>
    <xf numFmtId="206" fontId="46" fillId="0" borderId="0" applyFont="0" applyFill="0" applyBorder="0" applyAlignment="0" applyProtection="0"/>
    <xf numFmtId="205" fontId="24" fillId="0" borderId="0" applyFont="0" applyFill="0" applyBorder="0" applyAlignment="0" applyProtection="0"/>
    <xf numFmtId="207"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9" fontId="24" fillId="0" borderId="0" applyFont="0" applyFill="0" applyBorder="0" applyAlignment="0" applyProtection="0"/>
    <xf numFmtId="42" fontId="24" fillId="0" borderId="0" applyFont="0" applyFill="0" applyBorder="0" applyAlignment="0" applyProtection="0"/>
    <xf numFmtId="210" fontId="24" fillId="0" borderId="0" applyFont="0" applyFill="0" applyBorder="0" applyAlignment="0" applyProtection="0"/>
    <xf numFmtId="21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202" fontId="75" fillId="0" borderId="0" applyFill="0" applyBorder="0" applyAlignment="0" applyProtection="0"/>
    <xf numFmtId="20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9"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01" fontId="4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12" fontId="24" fillId="0" borderId="0" applyFont="0" applyFill="0" applyBorder="0" applyAlignment="0" applyProtection="0"/>
    <xf numFmtId="181" fontId="24" fillId="0" borderId="0" applyFont="0" applyFill="0" applyBorder="0" applyAlignment="0" applyProtection="0"/>
    <xf numFmtId="213" fontId="24" fillId="0" borderId="0" applyFont="0" applyFill="0" applyBorder="0" applyAlignment="0" applyProtection="0"/>
    <xf numFmtId="201" fontId="4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5" fontId="24" fillId="0" borderId="0" applyFont="0" applyFill="0" applyBorder="0" applyAlignment="0" applyProtection="0"/>
    <xf numFmtId="203"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1" fontId="75" fillId="0" borderId="0" applyFill="0" applyBorder="0" applyAlignment="0" applyProtection="0"/>
    <xf numFmtId="191" fontId="75" fillId="0" borderId="0" applyFill="0" applyBorder="0" applyAlignment="0" applyProtection="0"/>
    <xf numFmtId="181" fontId="24" fillId="0" borderId="0" applyFont="0" applyFill="0" applyBorder="0" applyAlignment="0" applyProtection="0"/>
    <xf numFmtId="205"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91" fontId="75" fillId="0" borderId="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215"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91" fontId="75" fillId="0" borderId="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195" fontId="75" fillId="0" borderId="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1" fontId="24" fillId="0" borderId="0" applyFont="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5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1" fontId="24" fillId="0" borderId="0" applyFont="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7" fontId="75" fillId="0" borderId="0" applyFill="0" applyBorder="0" applyAlignment="0" applyProtection="0"/>
    <xf numFmtId="257"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01"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01" fontId="24" fillId="0" borderId="0" applyFont="0" applyFill="0" applyBorder="0" applyAlignment="0" applyProtection="0"/>
    <xf numFmtId="214" fontId="75" fillId="0" borderId="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260" fontId="24" fillId="0" borderId="0" applyFont="0" applyFill="0" applyBorder="0" applyAlignment="0" applyProtection="0"/>
    <xf numFmtId="261"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63" fontId="75" fillId="0" borderId="0" applyFill="0" applyBorder="0" applyAlignment="0" applyProtection="0"/>
    <xf numFmtId="263"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25" fontId="24" fillId="0" borderId="0" applyFont="0" applyFill="0" applyBorder="0" applyAlignment="0" applyProtection="0"/>
    <xf numFmtId="222"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7" fontId="24" fillId="0" borderId="0" applyFont="0" applyFill="0" applyBorder="0" applyAlignment="0" applyProtection="0"/>
    <xf numFmtId="228"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5" fontId="24" fillId="0" borderId="0" applyFont="0" applyFill="0" applyBorder="0" applyAlignment="0" applyProtection="0"/>
    <xf numFmtId="234"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6" fontId="75" fillId="0" borderId="0" applyFill="0" applyBorder="0" applyAlignment="0" applyProtection="0"/>
    <xf numFmtId="180" fontId="24" fillId="0" borderId="0" applyFont="0" applyFill="0" applyBorder="0" applyAlignment="0" applyProtection="0"/>
    <xf numFmtId="228" fontId="75" fillId="0" borderId="0" applyFill="0" applyBorder="0" applyAlignment="0" applyProtection="0"/>
    <xf numFmtId="237" fontId="24" fillId="0" borderId="0" applyFont="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38" fontId="24" fillId="0" borderId="0" applyFont="0" applyFill="0" applyBorder="0" applyAlignment="0" applyProtection="0"/>
    <xf numFmtId="0" fontId="75" fillId="0" borderId="0" applyFill="0" applyBorder="0" applyAlignment="0" applyProtection="0"/>
    <xf numFmtId="0" fontId="75" fillId="0" borderId="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40" fontId="46"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229"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75" fillId="0" borderId="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237" fontId="24" fillId="0" borderId="0" applyFont="0" applyFill="0" applyBorder="0" applyAlignment="0" applyProtection="0"/>
    <xf numFmtId="222" fontId="75" fillId="0" borderId="0" applyFill="0" applyBorder="0" applyAlignment="0" applyProtection="0"/>
    <xf numFmtId="43"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42" fontId="75" fillId="0" borderId="0" applyFill="0" applyBorder="0" applyAlignment="0" applyProtection="0"/>
    <xf numFmtId="235" fontId="75" fillId="0" borderId="0" applyFill="0" applyBorder="0" applyAlignment="0" applyProtection="0"/>
    <xf numFmtId="238"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44" fontId="24" fillId="0" borderId="0" applyFont="0" applyFill="0" applyBorder="0" applyAlignment="0" applyProtection="0"/>
    <xf numFmtId="243" fontId="24" fillId="0" borderId="0" applyFont="0" applyFill="0" applyBorder="0" applyAlignment="0" applyProtection="0"/>
    <xf numFmtId="243" fontId="24" fillId="0" borderId="0" applyFont="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5" fontId="75" fillId="0" borderId="0" applyFill="0" applyBorder="0" applyAlignment="0" applyProtection="0"/>
    <xf numFmtId="245"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9" fontId="24" fillId="0" borderId="0" applyFont="0" applyFill="0" applyBorder="0" applyAlignment="0" applyProtection="0"/>
    <xf numFmtId="246" fontId="24" fillId="0" borderId="0" applyFont="0" applyFill="0" applyBorder="0" applyAlignment="0" applyProtection="0"/>
    <xf numFmtId="237" fontId="24" fillId="0" borderId="0" applyFont="0" applyFill="0" applyBorder="0" applyAlignment="0" applyProtection="0"/>
    <xf numFmtId="243" fontId="24" fillId="0" borderId="0" applyFont="0" applyFill="0" applyBorder="0" applyAlignment="0" applyProtection="0"/>
    <xf numFmtId="237" fontId="24" fillId="0" borderId="0" applyFont="0" applyFill="0" applyBorder="0" applyAlignment="0" applyProtection="0"/>
    <xf numFmtId="228" fontId="75" fillId="0" borderId="0" applyFill="0" applyBorder="0" applyAlignment="0" applyProtection="0"/>
    <xf numFmtId="228"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7" fontId="24" fillId="0" borderId="0" applyFont="0" applyFill="0" applyBorder="0" applyAlignment="0" applyProtection="0"/>
    <xf numFmtId="229"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29" fontId="24" fillId="0" borderId="0" applyFont="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36" fontId="75" fillId="0" borderId="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46"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249" fontId="24" fillId="0" borderId="0" applyFont="0" applyFill="0" applyBorder="0" applyAlignment="0" applyProtection="0"/>
    <xf numFmtId="242" fontId="75" fillId="0" borderId="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50" fontId="24" fillId="0" borderId="0" applyFont="0" applyFill="0" applyBorder="0" applyAlignment="0" applyProtection="0"/>
    <xf numFmtId="251"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52" fontId="75" fillId="0" borderId="0" applyFill="0" applyBorder="0" applyAlignment="0" applyProtection="0"/>
    <xf numFmtId="25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2" fontId="75" fillId="0" borderId="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37" fontId="24" fillId="0" borderId="0" applyFont="0" applyFill="0" applyBorder="0" applyAlignment="0" applyProtection="0"/>
    <xf numFmtId="245"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64" fontId="24" fillId="0" borderId="0" applyFont="0" applyFill="0" applyBorder="0" applyAlignment="0" applyProtection="0"/>
    <xf numFmtId="253"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265" fontId="24" fillId="0" borderId="0" applyFont="0" applyFill="0" applyBorder="0" applyAlignment="0" applyProtection="0"/>
    <xf numFmtId="190"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4" fontId="24" fillId="0" borderId="0" applyFont="0" applyFill="0" applyBorder="0" applyAlignment="0" applyProtection="0"/>
    <xf numFmtId="26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0" fontId="75" fillId="0" borderId="0" applyFill="0" applyBorder="0" applyAlignment="0" applyProtection="0"/>
    <xf numFmtId="179" fontId="24" fillId="0" borderId="0" applyFont="0" applyFill="0" applyBorder="0" applyAlignment="0" applyProtection="0"/>
    <xf numFmtId="190" fontId="75" fillId="0" borderId="0" applyFill="0" applyBorder="0" applyAlignment="0" applyProtection="0"/>
    <xf numFmtId="271" fontId="24" fillId="0" borderId="0" applyFont="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2"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4" fontId="46"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266"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9" fontId="75" fillId="0" borderId="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271" fontId="24" fillId="0" borderId="0" applyFont="0" applyFill="0" applyBorder="0" applyAlignment="0" applyProtection="0"/>
    <xf numFmtId="253" fontId="75" fillId="0" borderId="0" applyFill="0" applyBorder="0" applyAlignment="0" applyProtection="0"/>
    <xf numFmtId="41" fontId="24" fillId="0" borderId="0" applyFont="0" applyFill="0" applyBorder="0" applyAlignment="0" applyProtection="0"/>
    <xf numFmtId="275" fontId="24" fillId="0" borderId="0" applyFont="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6" fontId="75" fillId="0" borderId="0" applyFill="0" applyBorder="0" applyAlignment="0" applyProtection="0"/>
    <xf numFmtId="269" fontId="75" fillId="0" borderId="0" applyFill="0" applyBorder="0" applyAlignment="0" applyProtection="0"/>
    <xf numFmtId="272"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78" fontId="24" fillId="0" borderId="0" applyFont="0" applyFill="0" applyBorder="0" applyAlignment="0" applyProtection="0"/>
    <xf numFmtId="277" fontId="24" fillId="0" borderId="0" applyFont="0" applyFill="0" applyBorder="0" applyAlignment="0" applyProtection="0"/>
    <xf numFmtId="277" fontId="24" fillId="0" borderId="0" applyFont="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9" fontId="75" fillId="0" borderId="0" applyFill="0" applyBorder="0" applyAlignment="0" applyProtection="0"/>
    <xf numFmtId="27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3" fontId="24" fillId="0" borderId="0" applyFont="0" applyFill="0" applyBorder="0" applyAlignment="0" applyProtection="0"/>
    <xf numFmtId="197" fontId="24" fillId="0" borderId="0" applyFont="0" applyFill="0" applyBorder="0" applyAlignment="0" applyProtection="0"/>
    <xf numFmtId="271" fontId="24" fillId="0" borderId="0" applyFont="0" applyFill="0" applyBorder="0" applyAlignment="0" applyProtection="0"/>
    <xf numFmtId="277" fontId="24" fillId="0" borderId="0" applyFont="0" applyFill="0" applyBorder="0" applyAlignment="0" applyProtection="0"/>
    <xf numFmtId="271" fontId="24" fillId="0" borderId="0" applyFont="0" applyFill="0" applyBorder="0" applyAlignment="0" applyProtection="0"/>
    <xf numFmtId="190" fontId="75" fillId="0" borderId="0" applyFill="0" applyBorder="0" applyAlignment="0" applyProtection="0"/>
    <xf numFmtId="190"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1" fontId="24" fillId="0" borderId="0" applyFont="0" applyFill="0" applyBorder="0" applyAlignment="0" applyProtection="0"/>
    <xf numFmtId="266"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266" fontId="24" fillId="0" borderId="0" applyFont="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270" fontId="75" fillId="0" borderId="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53" fontId="75" fillId="0" borderId="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197"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282" fontId="24" fillId="0" borderId="0" applyFont="0" applyFill="0" applyBorder="0" applyAlignment="0" applyProtection="0"/>
    <xf numFmtId="276" fontId="75" fillId="0" borderId="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83" fontId="24" fillId="0" borderId="0" applyFont="0" applyFill="0" applyBorder="0" applyAlignment="0" applyProtection="0"/>
    <xf numFmtId="284"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286" fontId="75" fillId="0" borderId="0" applyFill="0" applyBorder="0" applyAlignment="0" applyProtection="0"/>
    <xf numFmtId="286"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71" fontId="24" fillId="0" borderId="0" applyFont="0" applyFill="0" applyBorder="0" applyAlignment="0" applyProtection="0"/>
    <xf numFmtId="27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201" fontId="44" fillId="0" borderId="0" applyFont="0" applyFill="0" applyBorder="0" applyAlignment="0" applyProtection="0"/>
    <xf numFmtId="202" fontId="75" fillId="0" borderId="0" applyFill="0" applyBorder="0" applyAlignment="0" applyProtection="0"/>
    <xf numFmtId="203" fontId="75" fillId="0" borderId="0" applyFill="0" applyBorder="0" applyAlignment="0" applyProtection="0"/>
    <xf numFmtId="42" fontId="24" fillId="0" borderId="0" applyFont="0" applyFill="0" applyBorder="0" applyAlignment="0" applyProtection="0"/>
    <xf numFmtId="191" fontId="75" fillId="0" borderId="0" applyFill="0" applyBorder="0" applyAlignment="0" applyProtection="0"/>
    <xf numFmtId="204" fontId="24" fillId="0" borderId="0" applyFont="0" applyFill="0" applyBorder="0" applyAlignment="0" applyProtection="0"/>
    <xf numFmtId="205" fontId="24" fillId="0" borderId="0" applyFont="0" applyFill="0" applyBorder="0" applyAlignment="0" applyProtection="0"/>
    <xf numFmtId="206" fontId="46" fillId="0" borderId="0" applyFont="0" applyFill="0" applyBorder="0" applyAlignment="0" applyProtection="0"/>
    <xf numFmtId="205" fontId="24" fillId="0" borderId="0" applyFont="0" applyFill="0" applyBorder="0" applyAlignment="0" applyProtection="0"/>
    <xf numFmtId="207"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9" fontId="24" fillId="0" borderId="0" applyFont="0" applyFill="0" applyBorder="0" applyAlignment="0" applyProtection="0"/>
    <xf numFmtId="42" fontId="24" fillId="0" borderId="0" applyFont="0" applyFill="0" applyBorder="0" applyAlignment="0" applyProtection="0"/>
    <xf numFmtId="210" fontId="24" fillId="0" borderId="0" applyFont="0" applyFill="0" applyBorder="0" applyAlignment="0" applyProtection="0"/>
    <xf numFmtId="21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202" fontId="75" fillId="0" borderId="0" applyFill="0" applyBorder="0" applyAlignment="0" applyProtection="0"/>
    <xf numFmtId="20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9"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01" fontId="44" fillId="0" borderId="0" applyFont="0" applyFill="0" applyBorder="0" applyAlignment="0" applyProtection="0"/>
    <xf numFmtId="21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212" fontId="24" fillId="0" borderId="0" applyFont="0" applyFill="0" applyBorder="0" applyAlignment="0" applyProtection="0"/>
    <xf numFmtId="181" fontId="24" fillId="0" borderId="0" applyFont="0" applyFill="0" applyBorder="0" applyAlignment="0" applyProtection="0"/>
    <xf numFmtId="213" fontId="24" fillId="0" borderId="0" applyFont="0" applyFill="0" applyBorder="0" applyAlignment="0" applyProtection="0"/>
    <xf numFmtId="201" fontId="4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96" fontId="75" fillId="0" borderId="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5" fontId="24" fillId="0" borderId="0" applyFont="0" applyFill="0" applyBorder="0" applyAlignment="0" applyProtection="0"/>
    <xf numFmtId="203" fontId="75" fillId="0" borderId="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1" fontId="75" fillId="0" borderId="0" applyFill="0" applyBorder="0" applyAlignment="0" applyProtection="0"/>
    <xf numFmtId="191" fontId="75" fillId="0" borderId="0" applyFill="0" applyBorder="0" applyAlignment="0" applyProtection="0"/>
    <xf numFmtId="181" fontId="24" fillId="0" borderId="0" applyFont="0" applyFill="0" applyBorder="0" applyAlignment="0" applyProtection="0"/>
    <xf numFmtId="205"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91" fontId="75" fillId="0" borderId="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215"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91" fontId="75" fillId="0" borderId="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195" fontId="75" fillId="0" borderId="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1" fontId="24" fillId="0" borderId="0" applyFont="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5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1" fontId="24" fillId="0" borderId="0" applyFont="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7" fontId="75" fillId="0" borderId="0" applyFill="0" applyBorder="0" applyAlignment="0" applyProtection="0"/>
    <xf numFmtId="257"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01"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01" fontId="24" fillId="0" borderId="0" applyFont="0" applyFill="0" applyBorder="0" applyAlignment="0" applyProtection="0"/>
    <xf numFmtId="214" fontId="75" fillId="0" borderId="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260" fontId="24" fillId="0" borderId="0" applyFont="0" applyFill="0" applyBorder="0" applyAlignment="0" applyProtection="0"/>
    <xf numFmtId="261"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63" fontId="75" fillId="0" borderId="0" applyFill="0" applyBorder="0" applyAlignment="0" applyProtection="0"/>
    <xf numFmtId="263"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195" fontId="75" fillId="0" borderId="0" applyFill="0" applyBorder="0" applyAlignment="0" applyProtection="0"/>
    <xf numFmtId="195"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79" fontId="44" fillId="0" borderId="0" applyFont="0" applyFill="0" applyBorder="0" applyAlignment="0" applyProtection="0"/>
    <xf numFmtId="253" fontId="75" fillId="0" borderId="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0" fontId="44" fillId="0" borderId="0" applyFont="0" applyFill="0" applyBorder="0" applyAlignment="0" applyProtection="0"/>
    <xf numFmtId="264" fontId="24" fillId="0" borderId="0" applyFont="0" applyFill="0" applyBorder="0" applyAlignment="0" applyProtection="0"/>
    <xf numFmtId="222" fontId="75" fillId="0" borderId="0" applyFill="0" applyBorder="0" applyAlignment="0" applyProtection="0"/>
    <xf numFmtId="253"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265" fontId="24" fillId="0" borderId="0" applyFont="0" applyFill="0" applyBorder="0" applyAlignment="0" applyProtection="0"/>
    <xf numFmtId="190"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4" fontId="24" fillId="0" borderId="0" applyFont="0" applyFill="0" applyBorder="0" applyAlignment="0" applyProtection="0"/>
    <xf numFmtId="26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0" fontId="75" fillId="0" borderId="0" applyFill="0" applyBorder="0" applyAlignment="0" applyProtection="0"/>
    <xf numFmtId="179" fontId="24" fillId="0" borderId="0" applyFont="0" applyFill="0" applyBorder="0" applyAlignment="0" applyProtection="0"/>
    <xf numFmtId="190" fontId="75" fillId="0" borderId="0" applyFill="0" applyBorder="0" applyAlignment="0" applyProtection="0"/>
    <xf numFmtId="271" fontId="24" fillId="0" borderId="0" applyFont="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2"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4" fontId="46"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266"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9" fontId="75" fillId="0" borderId="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271" fontId="24" fillId="0" borderId="0" applyFont="0" applyFill="0" applyBorder="0" applyAlignment="0" applyProtection="0"/>
    <xf numFmtId="253" fontId="75" fillId="0" borderId="0" applyFill="0" applyBorder="0" applyAlignment="0" applyProtection="0"/>
    <xf numFmtId="41" fontId="24" fillId="0" borderId="0" applyFont="0" applyFill="0" applyBorder="0" applyAlignment="0" applyProtection="0"/>
    <xf numFmtId="275" fontId="24" fillId="0" borderId="0" applyFont="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6" fontId="75" fillId="0" borderId="0" applyFill="0" applyBorder="0" applyAlignment="0" applyProtection="0"/>
    <xf numFmtId="269" fontId="75" fillId="0" borderId="0" applyFill="0" applyBorder="0" applyAlignment="0" applyProtection="0"/>
    <xf numFmtId="272"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78" fontId="24" fillId="0" borderId="0" applyFont="0" applyFill="0" applyBorder="0" applyAlignment="0" applyProtection="0"/>
    <xf numFmtId="277" fontId="24" fillId="0" borderId="0" applyFont="0" applyFill="0" applyBorder="0" applyAlignment="0" applyProtection="0"/>
    <xf numFmtId="277" fontId="24" fillId="0" borderId="0" applyFont="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9" fontId="75" fillId="0" borderId="0" applyFill="0" applyBorder="0" applyAlignment="0" applyProtection="0"/>
    <xf numFmtId="27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3" fontId="24" fillId="0" borderId="0" applyFont="0" applyFill="0" applyBorder="0" applyAlignment="0" applyProtection="0"/>
    <xf numFmtId="197" fontId="24" fillId="0" borderId="0" applyFont="0" applyFill="0" applyBorder="0" applyAlignment="0" applyProtection="0"/>
    <xf numFmtId="271" fontId="24" fillId="0" borderId="0" applyFont="0" applyFill="0" applyBorder="0" applyAlignment="0" applyProtection="0"/>
    <xf numFmtId="277" fontId="24" fillId="0" borderId="0" applyFont="0" applyFill="0" applyBorder="0" applyAlignment="0" applyProtection="0"/>
    <xf numFmtId="271" fontId="24" fillId="0" borderId="0" applyFont="0" applyFill="0" applyBorder="0" applyAlignment="0" applyProtection="0"/>
    <xf numFmtId="190" fontId="75" fillId="0" borderId="0" applyFill="0" applyBorder="0" applyAlignment="0" applyProtection="0"/>
    <xf numFmtId="190"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1" fontId="24" fillId="0" borderId="0" applyFont="0" applyFill="0" applyBorder="0" applyAlignment="0" applyProtection="0"/>
    <xf numFmtId="266"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266" fontId="24" fillId="0" borderId="0" applyFont="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270" fontId="75" fillId="0" borderId="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53" fontId="75" fillId="0" borderId="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197"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282" fontId="24" fillId="0" borderId="0" applyFont="0" applyFill="0" applyBorder="0" applyAlignment="0" applyProtection="0"/>
    <xf numFmtId="276" fontId="75" fillId="0" borderId="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83" fontId="24" fillId="0" borderId="0" applyFont="0" applyFill="0" applyBorder="0" applyAlignment="0" applyProtection="0"/>
    <xf numFmtId="284"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286" fontId="75" fillId="0" borderId="0" applyFill="0" applyBorder="0" applyAlignment="0" applyProtection="0"/>
    <xf numFmtId="286"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71" fontId="24" fillId="0" borderId="0" applyFont="0" applyFill="0" applyBorder="0" applyAlignment="0" applyProtection="0"/>
    <xf numFmtId="27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25" fontId="2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2"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7" fontId="24" fillId="0" borderId="0" applyFont="0" applyFill="0" applyBorder="0" applyAlignment="0" applyProtection="0"/>
    <xf numFmtId="228"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5" fontId="24" fillId="0" borderId="0" applyFont="0" applyFill="0" applyBorder="0" applyAlignment="0" applyProtection="0"/>
    <xf numFmtId="234"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6" fontId="75" fillId="0" borderId="0" applyFill="0" applyBorder="0" applyAlignment="0" applyProtection="0"/>
    <xf numFmtId="180" fontId="24" fillId="0" borderId="0" applyFont="0" applyFill="0" applyBorder="0" applyAlignment="0" applyProtection="0"/>
    <xf numFmtId="228" fontId="75" fillId="0" borderId="0" applyFill="0" applyBorder="0" applyAlignment="0" applyProtection="0"/>
    <xf numFmtId="237" fontId="24" fillId="0" borderId="0" applyFont="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38" fontId="24" fillId="0" borderId="0" applyFont="0" applyFill="0" applyBorder="0" applyAlignment="0" applyProtection="0"/>
    <xf numFmtId="0" fontId="75" fillId="0" borderId="0" applyFill="0" applyBorder="0" applyAlignment="0" applyProtection="0"/>
    <xf numFmtId="0" fontId="75" fillId="0" borderId="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40" fontId="46"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229"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75" fillId="0" borderId="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237" fontId="24" fillId="0" borderId="0" applyFont="0" applyFill="0" applyBorder="0" applyAlignment="0" applyProtection="0"/>
    <xf numFmtId="222" fontId="75" fillId="0" borderId="0" applyFill="0" applyBorder="0" applyAlignment="0" applyProtection="0"/>
    <xf numFmtId="43"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42" fontId="75" fillId="0" borderId="0" applyFill="0" applyBorder="0" applyAlignment="0" applyProtection="0"/>
    <xf numFmtId="235" fontId="75" fillId="0" borderId="0" applyFill="0" applyBorder="0" applyAlignment="0" applyProtection="0"/>
    <xf numFmtId="238"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44" fontId="24" fillId="0" borderId="0" applyFont="0" applyFill="0" applyBorder="0" applyAlignment="0" applyProtection="0"/>
    <xf numFmtId="243" fontId="24" fillId="0" borderId="0" applyFont="0" applyFill="0" applyBorder="0" applyAlignment="0" applyProtection="0"/>
    <xf numFmtId="243" fontId="24" fillId="0" borderId="0" applyFont="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5" fontId="75" fillId="0" borderId="0" applyFill="0" applyBorder="0" applyAlignment="0" applyProtection="0"/>
    <xf numFmtId="245"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9" fontId="24" fillId="0" borderId="0" applyFont="0" applyFill="0" applyBorder="0" applyAlignment="0" applyProtection="0"/>
    <xf numFmtId="246" fontId="24" fillId="0" borderId="0" applyFont="0" applyFill="0" applyBorder="0" applyAlignment="0" applyProtection="0"/>
    <xf numFmtId="237" fontId="24" fillId="0" borderId="0" applyFont="0" applyFill="0" applyBorder="0" applyAlignment="0" applyProtection="0"/>
    <xf numFmtId="243" fontId="24" fillId="0" borderId="0" applyFont="0" applyFill="0" applyBorder="0" applyAlignment="0" applyProtection="0"/>
    <xf numFmtId="237" fontId="24" fillId="0" borderId="0" applyFont="0" applyFill="0" applyBorder="0" applyAlignment="0" applyProtection="0"/>
    <xf numFmtId="228" fontId="75" fillId="0" borderId="0" applyFill="0" applyBorder="0" applyAlignment="0" applyProtection="0"/>
    <xf numFmtId="228"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7" fontId="24" fillId="0" borderId="0" applyFont="0" applyFill="0" applyBorder="0" applyAlignment="0" applyProtection="0"/>
    <xf numFmtId="229"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29" fontId="24" fillId="0" borderId="0" applyFont="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36" fontId="75" fillId="0" borderId="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46"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249" fontId="24" fillId="0" borderId="0" applyFont="0" applyFill="0" applyBorder="0" applyAlignment="0" applyProtection="0"/>
    <xf numFmtId="242" fontId="75" fillId="0" borderId="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50" fontId="24" fillId="0" borderId="0" applyFont="0" applyFill="0" applyBorder="0" applyAlignment="0" applyProtection="0"/>
    <xf numFmtId="251"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52" fontId="75" fillId="0" borderId="0" applyFill="0" applyBorder="0" applyAlignment="0" applyProtection="0"/>
    <xf numFmtId="25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37" fontId="24" fillId="0" borderId="0" applyFont="0" applyFill="0" applyBorder="0" applyAlignment="0" applyProtection="0"/>
    <xf numFmtId="245"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179" fontId="44" fillId="0" borderId="0" applyFont="0" applyFill="0" applyBorder="0" applyAlignment="0" applyProtection="0"/>
    <xf numFmtId="253" fontId="75" fillId="0" borderId="0" applyFill="0" applyBorder="0" applyAlignment="0" applyProtection="0"/>
    <xf numFmtId="181" fontId="44" fillId="0" borderId="0" applyFont="0" applyFill="0" applyBorder="0" applyAlignment="0" applyProtection="0"/>
    <xf numFmtId="191" fontId="75" fillId="0" borderId="0" applyFill="0" applyBorder="0" applyAlignment="0" applyProtection="0"/>
    <xf numFmtId="181" fontId="44" fillId="0" borderId="0" applyFont="0" applyFill="0" applyBorder="0" applyAlignment="0" applyProtection="0"/>
    <xf numFmtId="207"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91" fontId="75" fillId="0" borderId="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7" fontId="44" fillId="0" borderId="0" applyFont="0" applyFill="0" applyBorder="0" applyAlignment="0" applyProtection="0"/>
    <xf numFmtId="217" fontId="75" fillId="0" borderId="0" applyFill="0" applyBorder="0" applyAlignment="0" applyProtection="0"/>
    <xf numFmtId="218"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9" fontId="75" fillId="0" borderId="0" applyFill="0" applyBorder="0" applyAlignment="0" applyProtection="0"/>
    <xf numFmtId="219"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2" fontId="75" fillId="0" borderId="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200" fontId="24" fillId="0" borderId="0" applyFont="0" applyFill="0" applyBorder="0" applyAlignment="0" applyProtection="0"/>
    <xf numFmtId="195" fontId="75" fillId="0" borderId="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1" fontId="24" fillId="0" borderId="0" applyFont="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01" fontId="44" fillId="0" borderId="0" applyFont="0" applyFill="0" applyBorder="0" applyAlignment="0" applyProtection="0"/>
    <xf numFmtId="214" fontId="75" fillId="0" borderId="0" applyFill="0" applyBorder="0" applyAlignment="0" applyProtection="0"/>
    <xf numFmtId="255" fontId="24" fillId="0" borderId="0" applyFont="0" applyFill="0" applyBorder="0" applyAlignment="0" applyProtection="0"/>
    <xf numFmtId="214" fontId="75" fillId="0" borderId="0" applyFill="0" applyBorder="0" applyAlignment="0" applyProtection="0"/>
    <xf numFmtId="21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14" fontId="75" fillId="0" borderId="0" applyFill="0" applyBorder="0" applyAlignment="0" applyProtection="0"/>
    <xf numFmtId="214" fontId="75" fillId="0" borderId="0" applyFill="0" applyBorder="0" applyAlignment="0" applyProtection="0"/>
    <xf numFmtId="201" fontId="24" fillId="0" borderId="0" applyFont="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7" fontId="75" fillId="0" borderId="0" applyFill="0" applyBorder="0" applyAlignment="0" applyProtection="0"/>
    <xf numFmtId="257"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8" fontId="75" fillId="0" borderId="0" applyFill="0" applyBorder="0" applyAlignment="0" applyProtection="0"/>
    <xf numFmtId="256"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56" fontId="75" fillId="0" borderId="0" applyFill="0" applyBorder="0" applyAlignment="0" applyProtection="0"/>
    <xf numFmtId="259" fontId="75" fillId="0" borderId="0" applyFill="0" applyBorder="0" applyAlignment="0" applyProtection="0"/>
    <xf numFmtId="201"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4" fontId="75" fillId="0" borderId="0" applyFill="0" applyBorder="0" applyAlignment="0" applyProtection="0"/>
    <xf numFmtId="255" fontId="24" fillId="0" borderId="0" applyFont="0" applyFill="0" applyBorder="0" applyAlignment="0" applyProtection="0"/>
    <xf numFmtId="254" fontId="75" fillId="0" borderId="0" applyFill="0" applyBorder="0" applyAlignment="0" applyProtection="0"/>
    <xf numFmtId="254" fontId="75" fillId="0" borderId="0" applyFill="0" applyBorder="0" applyAlignment="0" applyProtection="0"/>
    <xf numFmtId="201" fontId="24" fillId="0" borderId="0" applyFont="0" applyFill="0" applyBorder="0" applyAlignment="0" applyProtection="0"/>
    <xf numFmtId="214" fontId="75" fillId="0" borderId="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260" fontId="24" fillId="0" borderId="0" applyFont="0" applyFill="0" applyBorder="0" applyAlignment="0" applyProtection="0"/>
    <xf numFmtId="261"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63" fontId="75" fillId="0" borderId="0" applyFill="0" applyBorder="0" applyAlignment="0" applyProtection="0"/>
    <xf numFmtId="263"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53" fontId="75" fillId="0" borderId="0" applyFill="0" applyBorder="0" applyAlignment="0" applyProtection="0"/>
    <xf numFmtId="262"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262" fontId="75" fillId="0" borderId="0" applyFill="0" applyBorder="0" applyAlignment="0" applyProtection="0"/>
    <xf numFmtId="258" fontId="75" fillId="0" borderId="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 fillId="0" borderId="0"/>
    <xf numFmtId="0" fontId="46" fillId="0" borderId="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179" fontId="44" fillId="0" borderId="0" applyFont="0" applyFill="0" applyBorder="0" applyAlignment="0" applyProtection="0"/>
    <xf numFmtId="264" fontId="24" fillId="0" borderId="0" applyFont="0" applyFill="0" applyBorder="0" applyAlignment="0" applyProtection="0"/>
    <xf numFmtId="253"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265" fontId="24" fillId="0" borderId="0" applyFont="0" applyFill="0" applyBorder="0" applyAlignment="0" applyProtection="0"/>
    <xf numFmtId="190"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4" fontId="24" fillId="0" borderId="0" applyFont="0" applyFill="0" applyBorder="0" applyAlignment="0" applyProtection="0"/>
    <xf numFmtId="26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0" fontId="75" fillId="0" borderId="0" applyFill="0" applyBorder="0" applyAlignment="0" applyProtection="0"/>
    <xf numFmtId="179" fontId="24" fillId="0" borderId="0" applyFont="0" applyFill="0" applyBorder="0" applyAlignment="0" applyProtection="0"/>
    <xf numFmtId="190" fontId="75" fillId="0" borderId="0" applyFill="0" applyBorder="0" applyAlignment="0" applyProtection="0"/>
    <xf numFmtId="271" fontId="24" fillId="0" borderId="0" applyFont="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2"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72" fontId="24" fillId="0" borderId="0" applyFont="0" applyFill="0" applyBorder="0" applyAlignment="0" applyProtection="0"/>
    <xf numFmtId="265" fontId="24" fillId="0" borderId="0" applyFont="0" applyFill="0" applyBorder="0" applyAlignment="0" applyProtection="0"/>
    <xf numFmtId="274" fontId="46" fillId="0" borderId="0" applyFont="0" applyFill="0" applyBorder="0" applyAlignment="0" applyProtection="0"/>
    <xf numFmtId="265" fontId="24" fillId="0" borderId="0" applyFont="0" applyFill="0" applyBorder="0" applyAlignment="0" applyProtection="0"/>
    <xf numFmtId="272" fontId="24" fillId="0" borderId="0" applyFont="0" applyFill="0" applyBorder="0" applyAlignment="0" applyProtection="0"/>
    <xf numFmtId="266"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6" fontId="24" fillId="0" borderId="0" applyFont="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9" fontId="75" fillId="0" borderId="0" applyFill="0" applyBorder="0" applyAlignment="0" applyProtection="0"/>
    <xf numFmtId="198" fontId="44" fillId="0" borderId="0" applyFont="0" applyFill="0" applyBorder="0" applyAlignment="0" applyProtection="0"/>
    <xf numFmtId="265"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179" fontId="24" fillId="0" borderId="0" applyFont="0" applyFill="0" applyBorder="0" applyAlignment="0" applyProtection="0"/>
    <xf numFmtId="198" fontId="44" fillId="0" borderId="0" applyFont="0" applyFill="0" applyBorder="0" applyAlignment="0" applyProtection="0"/>
    <xf numFmtId="271" fontId="24" fillId="0" borderId="0" applyFont="0" applyFill="0" applyBorder="0" applyAlignment="0" applyProtection="0"/>
    <xf numFmtId="253" fontId="75" fillId="0" borderId="0" applyFill="0" applyBorder="0" applyAlignment="0" applyProtection="0"/>
    <xf numFmtId="41" fontId="24" fillId="0" borderId="0" applyFont="0" applyFill="0" applyBorder="0" applyAlignment="0" applyProtection="0"/>
    <xf numFmtId="275" fontId="24" fillId="0" borderId="0" applyFont="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79" fontId="24" fillId="0" borderId="0" applyFont="0" applyFill="0" applyBorder="0" applyAlignment="0" applyProtection="0"/>
    <xf numFmtId="273" fontId="24" fillId="0" borderId="0" applyFont="0" applyFill="0" applyBorder="0" applyAlignment="0" applyProtection="0"/>
    <xf numFmtId="276" fontId="75" fillId="0" borderId="0" applyFill="0" applyBorder="0" applyAlignment="0" applyProtection="0"/>
    <xf numFmtId="269" fontId="75" fillId="0" borderId="0" applyFill="0" applyBorder="0" applyAlignment="0" applyProtection="0"/>
    <xf numFmtId="272"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78" fontId="24" fillId="0" borderId="0" applyFont="0" applyFill="0" applyBorder="0" applyAlignment="0" applyProtection="0"/>
    <xf numFmtId="277" fontId="24" fillId="0" borderId="0" applyFont="0" applyFill="0" applyBorder="0" applyAlignment="0" applyProtection="0"/>
    <xf numFmtId="277" fontId="24" fillId="0" borderId="0" applyFont="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98" fontId="24" fillId="0" borderId="0" applyFont="0" applyFill="0" applyBorder="0" applyAlignment="0" applyProtection="0"/>
    <xf numFmtId="279" fontId="75" fillId="0" borderId="0" applyFill="0" applyBorder="0" applyAlignment="0" applyProtection="0"/>
    <xf numFmtId="27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3" fontId="24" fillId="0" borderId="0" applyFont="0" applyFill="0" applyBorder="0" applyAlignment="0" applyProtection="0"/>
    <xf numFmtId="197" fontId="24" fillId="0" borderId="0" applyFont="0" applyFill="0" applyBorder="0" applyAlignment="0" applyProtection="0"/>
    <xf numFmtId="271" fontId="24" fillId="0" borderId="0" applyFont="0" applyFill="0" applyBorder="0" applyAlignment="0" applyProtection="0"/>
    <xf numFmtId="277" fontId="24" fillId="0" borderId="0" applyFont="0" applyFill="0" applyBorder="0" applyAlignment="0" applyProtection="0"/>
    <xf numFmtId="271" fontId="24" fillId="0" borderId="0" applyFont="0" applyFill="0" applyBorder="0" applyAlignment="0" applyProtection="0"/>
    <xf numFmtId="190" fontId="75" fillId="0" borderId="0" applyFill="0" applyBorder="0" applyAlignment="0" applyProtection="0"/>
    <xf numFmtId="190"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269" fontId="75" fillId="0" borderId="0" applyFill="0" applyBorder="0" applyAlignment="0" applyProtection="0"/>
    <xf numFmtId="271" fontId="24" fillId="0" borderId="0" applyFont="0" applyFill="0" applyBorder="0" applyAlignment="0" applyProtection="0"/>
    <xf numFmtId="266" fontId="24" fillId="0" borderId="0" applyFont="0" applyFill="0" applyBorder="0" applyAlignment="0" applyProtection="0"/>
    <xf numFmtId="276" fontId="75" fillId="0" borderId="0" applyFill="0" applyBorder="0" applyAlignment="0" applyProtection="0"/>
    <xf numFmtId="276" fontId="75" fillId="0" borderId="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266" fontId="24" fillId="0" borderId="0" applyFont="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199" fontId="75" fillId="0" borderId="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9" fontId="75" fillId="0" borderId="0" applyFill="0" applyBorder="0" applyAlignment="0" applyProtection="0"/>
    <xf numFmtId="199" fontId="75" fillId="0" borderId="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270" fontId="75" fillId="0" borderId="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80" fontId="75" fillId="0" borderId="0" applyFill="0" applyBorder="0" applyAlignment="0" applyProtection="0"/>
    <xf numFmtId="280" fontId="75" fillId="0" borderId="0" applyFill="0" applyBorder="0" applyAlignment="0" applyProtection="0"/>
    <xf numFmtId="281" fontId="75" fillId="0" borderId="0" applyFill="0" applyBorder="0" applyAlignment="0" applyProtection="0"/>
    <xf numFmtId="281" fontId="75" fillId="0" borderId="0" applyFill="0" applyBorder="0" applyAlignment="0" applyProtection="0"/>
    <xf numFmtId="253" fontId="75" fillId="0" borderId="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197"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282" fontId="24" fillId="0" borderId="0" applyFont="0" applyFill="0" applyBorder="0" applyAlignment="0" applyProtection="0"/>
    <xf numFmtId="276" fontId="75" fillId="0" borderId="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66" fontId="24" fillId="0" borderId="0" applyFont="0" applyFill="0" applyBorder="0" applyAlignment="0" applyProtection="0"/>
    <xf numFmtId="179" fontId="24" fillId="0" borderId="0" applyFont="0" applyFill="0" applyBorder="0" applyAlignment="0" applyProtection="0"/>
    <xf numFmtId="253"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41" fontId="24"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266" fontId="24" fillId="0" borderId="0" applyFont="0" applyFill="0" applyBorder="0" applyAlignment="0" applyProtection="0"/>
    <xf numFmtId="267" fontId="75" fillId="0" borderId="0" applyFill="0" applyBorder="0" applyAlignment="0" applyProtection="0"/>
    <xf numFmtId="198" fontId="24" fillId="0" borderId="0" applyFont="0" applyFill="0" applyBorder="0" applyAlignment="0" applyProtection="0"/>
    <xf numFmtId="19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83" fontId="24" fillId="0" borderId="0" applyFont="0" applyFill="0" applyBorder="0" applyAlignment="0" applyProtection="0"/>
    <xf numFmtId="284"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286" fontId="75" fillId="0" borderId="0" applyFill="0" applyBorder="0" applyAlignment="0" applyProtection="0"/>
    <xf numFmtId="286"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21" fontId="75" fillId="0" borderId="0" applyFill="0" applyBorder="0" applyAlignment="0" applyProtection="0"/>
    <xf numFmtId="285"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85" fontId="75" fillId="0" borderId="0" applyFill="0" applyBorder="0" applyAlignment="0" applyProtection="0"/>
    <xf numFmtId="191"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189" fontId="75" fillId="0" borderId="0" applyFill="0" applyBorder="0" applyAlignment="0" applyProtection="0"/>
    <xf numFmtId="18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71" fontId="24" fillId="0" borderId="0" applyFont="0" applyFill="0" applyBorder="0" applyAlignment="0" applyProtection="0"/>
    <xf numFmtId="279" fontId="75" fillId="0" borderId="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67" fontId="75" fillId="0" borderId="0" applyFill="0" applyBorder="0" applyAlignment="0" applyProtection="0"/>
    <xf numFmtId="225" fontId="24" fillId="0" borderId="0" applyFont="0" applyFill="0" applyBorder="0" applyAlignment="0" applyProtection="0"/>
    <xf numFmtId="222"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7" fontId="24" fillId="0" borderId="0" applyFont="0" applyFill="0" applyBorder="0" applyAlignment="0" applyProtection="0"/>
    <xf numFmtId="228"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5" fontId="24" fillId="0" borderId="0" applyFont="0" applyFill="0" applyBorder="0" applyAlignment="0" applyProtection="0"/>
    <xf numFmtId="234"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6" fontId="75" fillId="0" borderId="0" applyFill="0" applyBorder="0" applyAlignment="0" applyProtection="0"/>
    <xf numFmtId="180" fontId="24" fillId="0" borderId="0" applyFont="0" applyFill="0" applyBorder="0" applyAlignment="0" applyProtection="0"/>
    <xf numFmtId="228" fontId="75" fillId="0" borderId="0" applyFill="0" applyBorder="0" applyAlignment="0" applyProtection="0"/>
    <xf numFmtId="237" fontId="24" fillId="0" borderId="0" applyFont="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38" fontId="24" fillId="0" borderId="0" applyFont="0" applyFill="0" applyBorder="0" applyAlignment="0" applyProtection="0"/>
    <xf numFmtId="0" fontId="75" fillId="0" borderId="0" applyFill="0" applyBorder="0" applyAlignment="0" applyProtection="0"/>
    <xf numFmtId="0" fontId="75" fillId="0" borderId="0" applyFill="0" applyBorder="0" applyAlignment="0" applyProtection="0"/>
    <xf numFmtId="238" fontId="24" fillId="0" borderId="0" applyFont="0" applyFill="0" applyBorder="0" applyAlignment="0" applyProtection="0"/>
    <xf numFmtId="227" fontId="24" fillId="0" borderId="0" applyFont="0" applyFill="0" applyBorder="0" applyAlignment="0" applyProtection="0"/>
    <xf numFmtId="240" fontId="46" fillId="0" borderId="0" applyFont="0" applyFill="0" applyBorder="0" applyAlignment="0" applyProtection="0"/>
    <xf numFmtId="227" fontId="24" fillId="0" borderId="0" applyFont="0" applyFill="0" applyBorder="0" applyAlignment="0" applyProtection="0"/>
    <xf numFmtId="238" fontId="24" fillId="0" borderId="0" applyFont="0" applyFill="0" applyBorder="0" applyAlignment="0" applyProtection="0"/>
    <xf numFmtId="229"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9" fontId="24" fillId="0" borderId="0" applyFont="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75" fillId="0" borderId="0" applyFill="0" applyBorder="0" applyAlignment="0" applyProtection="0"/>
    <xf numFmtId="0" fontId="24" fillId="0" borderId="0" applyFont="0" applyFill="0" applyBorder="0" applyAlignment="0" applyProtection="0"/>
    <xf numFmtId="227"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180" fontId="24" fillId="0" borderId="0" applyFont="0" applyFill="0" applyBorder="0" applyAlignment="0" applyProtection="0"/>
    <xf numFmtId="0" fontId="24" fillId="0" borderId="0" applyFont="0" applyFill="0" applyBorder="0" applyAlignment="0" applyProtection="0"/>
    <xf numFmtId="237" fontId="24" fillId="0" borderId="0" applyFont="0" applyFill="0" applyBorder="0" applyAlignment="0" applyProtection="0"/>
    <xf numFmtId="222" fontId="75" fillId="0" borderId="0" applyFill="0" applyBorder="0" applyAlignment="0" applyProtection="0"/>
    <xf numFmtId="43" fontId="24" fillId="0" borderId="0" applyFont="0" applyFill="0" applyBorder="0" applyAlignment="0" applyProtection="0"/>
    <xf numFmtId="180" fontId="24" fillId="0" borderId="0" applyFont="0" applyFill="0" applyBorder="0" applyAlignment="0" applyProtection="0"/>
    <xf numFmtId="239" fontId="24" fillId="0" borderId="0" applyFont="0" applyFill="0" applyBorder="0" applyAlignment="0" applyProtection="0"/>
    <xf numFmtId="242" fontId="75" fillId="0" borderId="0" applyFill="0" applyBorder="0" applyAlignment="0" applyProtection="0"/>
    <xf numFmtId="235" fontId="75" fillId="0" borderId="0" applyFill="0" applyBorder="0" applyAlignment="0" applyProtection="0"/>
    <xf numFmtId="238"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44" fontId="24" fillId="0" borderId="0" applyFont="0" applyFill="0" applyBorder="0" applyAlignment="0" applyProtection="0"/>
    <xf numFmtId="243" fontId="24" fillId="0" borderId="0" applyFont="0" applyFill="0" applyBorder="0" applyAlignment="0" applyProtection="0"/>
    <xf numFmtId="243" fontId="24" fillId="0" borderId="0" applyFont="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45" fontId="75" fillId="0" borderId="0" applyFill="0" applyBorder="0" applyAlignment="0" applyProtection="0"/>
    <xf numFmtId="245"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9" fontId="24" fillId="0" borderId="0" applyFont="0" applyFill="0" applyBorder="0" applyAlignment="0" applyProtection="0"/>
    <xf numFmtId="246" fontId="24" fillId="0" borderId="0" applyFont="0" applyFill="0" applyBorder="0" applyAlignment="0" applyProtection="0"/>
    <xf numFmtId="237" fontId="24" fillId="0" borderId="0" applyFont="0" applyFill="0" applyBorder="0" applyAlignment="0" applyProtection="0"/>
    <xf numFmtId="243" fontId="24" fillId="0" borderId="0" applyFont="0" applyFill="0" applyBorder="0" applyAlignment="0" applyProtection="0"/>
    <xf numFmtId="237" fontId="24" fillId="0" borderId="0" applyFont="0" applyFill="0" applyBorder="0" applyAlignment="0" applyProtection="0"/>
    <xf numFmtId="228" fontId="75" fillId="0" borderId="0" applyFill="0" applyBorder="0" applyAlignment="0" applyProtection="0"/>
    <xf numFmtId="228"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235" fontId="75" fillId="0" borderId="0" applyFill="0" applyBorder="0" applyAlignment="0" applyProtection="0"/>
    <xf numFmtId="237" fontId="24" fillId="0" borderId="0" applyFont="0" applyFill="0" applyBorder="0" applyAlignment="0" applyProtection="0"/>
    <xf numFmtId="229" fontId="24" fillId="0" borderId="0" applyFont="0" applyFill="0" applyBorder="0" applyAlignment="0" applyProtection="0"/>
    <xf numFmtId="242" fontId="75" fillId="0" borderId="0" applyFill="0" applyBorder="0" applyAlignment="0" applyProtection="0"/>
    <xf numFmtId="242" fontId="75" fillId="0" borderId="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29" fontId="24" fillId="0" borderId="0" applyFont="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41" fontId="75" fillId="0" borderId="0" applyFill="0" applyBorder="0" applyAlignment="0" applyProtection="0"/>
    <xf numFmtId="237" fontId="24" fillId="0" borderId="0" applyFont="0" applyFill="0" applyBorder="0" applyAlignment="0" applyProtection="0"/>
    <xf numFmtId="237" fontId="24" fillId="0" borderId="0" applyFont="0" applyFill="0" applyBorder="0" applyAlignment="0" applyProtection="0"/>
    <xf numFmtId="241" fontId="75" fillId="0" borderId="0" applyFill="0" applyBorder="0" applyAlignment="0" applyProtection="0"/>
    <xf numFmtId="241" fontId="75" fillId="0" borderId="0" applyFill="0" applyBorder="0" applyAlignment="0" applyProtection="0"/>
    <xf numFmtId="231" fontId="24" fillId="0" borderId="0" applyFont="0" applyFill="0" applyBorder="0" applyAlignment="0" applyProtection="0"/>
    <xf numFmtId="237" fontId="24" fillId="0" borderId="0" applyFont="0" applyFill="0" applyBorder="0" applyAlignment="0" applyProtection="0"/>
    <xf numFmtId="231" fontId="24" fillId="0" borderId="0" applyFont="0" applyFill="0" applyBorder="0" applyAlignment="0" applyProtection="0"/>
    <xf numFmtId="231" fontId="24" fillId="0" borderId="0" applyFont="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36" fontId="75" fillId="0" borderId="0" applyFill="0" applyBorder="0" applyAlignment="0" applyProtection="0"/>
    <xf numFmtId="231" fontId="24" fillId="0" borderId="0" applyFont="0" applyFill="0" applyBorder="0" applyAlignment="0" applyProtection="0"/>
    <xf numFmtId="243" fontId="24" fillId="0" borderId="0" applyFont="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47"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38" fontId="24" fillId="0" borderId="0" applyFont="0" applyFill="0" applyBorder="0" applyAlignment="0" applyProtection="0"/>
    <xf numFmtId="246"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229" fontId="24" fillId="0" borderId="0" applyFont="0" applyFill="0" applyBorder="0" applyAlignment="0" applyProtection="0"/>
    <xf numFmtId="249" fontId="24" fillId="0" borderId="0" applyFont="0" applyFill="0" applyBorder="0" applyAlignment="0" applyProtection="0"/>
    <xf numFmtId="242" fontId="75" fillId="0" borderId="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29" fontId="24" fillId="0" borderId="0" applyFont="0" applyFill="0" applyBorder="0" applyAlignment="0" applyProtection="0"/>
    <xf numFmtId="180" fontId="24" fillId="0" borderId="0" applyFont="0" applyFill="0" applyBorder="0" applyAlignment="0" applyProtection="0"/>
    <xf numFmtId="222"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48" fontId="24" fillId="0" borderId="0" applyFont="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229" fontId="24" fillId="0" borderId="0" applyFont="0" applyFill="0" applyBorder="0" applyAlignment="0" applyProtection="0"/>
    <xf numFmtId="230" fontId="75" fillId="0" borderId="0" applyFill="0" applyBorder="0" applyAlignment="0" applyProtection="0"/>
    <xf numFmtId="231" fontId="24" fillId="0" borderId="0" applyFont="0" applyFill="0" applyBorder="0" applyAlignment="0" applyProtection="0"/>
    <xf numFmtId="232" fontId="75" fillId="0" borderId="0" applyFill="0" applyBorder="0" applyAlignment="0" applyProtection="0"/>
    <xf numFmtId="233" fontId="75" fillId="0" borderId="0" applyFill="0" applyBorder="0" applyAlignment="0" applyProtection="0"/>
    <xf numFmtId="233"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50" fontId="24" fillId="0" borderId="0" applyFont="0" applyFill="0" applyBorder="0" applyAlignment="0" applyProtection="0"/>
    <xf numFmtId="251" fontId="75" fillId="0" borderId="0" applyFill="0" applyBorder="0" applyAlignment="0" applyProtection="0"/>
    <xf numFmtId="202"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52" fontId="75" fillId="0" borderId="0" applyFill="0" applyBorder="0" applyAlignment="0" applyProtection="0"/>
    <xf numFmtId="25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223" fontId="75" fillId="0" borderId="0" applyFill="0" applyBorder="0" applyAlignment="0" applyProtection="0"/>
    <xf numFmtId="202"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202" fontId="75" fillId="0" borderId="0" applyFill="0" applyBorder="0" applyAlignment="0" applyProtection="0"/>
    <xf numFmtId="253"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26" fontId="75" fillId="0" borderId="0" applyFill="0" applyBorder="0" applyAlignment="0" applyProtection="0"/>
    <xf numFmtId="226"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48" fontId="24" fillId="0" borderId="0" applyFont="0" applyFill="0" applyBorder="0" applyAlignment="0" applyProtection="0"/>
    <xf numFmtId="237" fontId="24" fillId="0" borderId="0" applyFont="0" applyFill="0" applyBorder="0" applyAlignment="0" applyProtection="0"/>
    <xf numFmtId="245" fontId="75" fillId="0" borderId="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248" fontId="24" fillId="0" borderId="0" applyFont="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230" fontId="75" fillId="0" borderId="0" applyFill="0" applyBorder="0" applyAlignment="0" applyProtection="0"/>
    <xf numFmtId="181" fontId="44" fillId="0" borderId="0" applyFont="0" applyFill="0" applyBorder="0" applyAlignment="0" applyProtection="0"/>
    <xf numFmtId="191" fontId="75" fillId="0" borderId="0" applyFill="0" applyBorder="0" applyAlignment="0" applyProtection="0"/>
    <xf numFmtId="181" fontId="44" fillId="0" borderId="0" applyFont="0" applyFill="0" applyBorder="0" applyAlignment="0" applyProtection="0"/>
    <xf numFmtId="207"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91" fontId="75" fillId="0" borderId="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7" fontId="44" fillId="0" borderId="0" applyFont="0" applyFill="0" applyBorder="0" applyAlignment="0" applyProtection="0"/>
    <xf numFmtId="217" fontId="75" fillId="0" borderId="0" applyFill="0" applyBorder="0" applyAlignment="0" applyProtection="0"/>
    <xf numFmtId="218"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9" fontId="75" fillId="0" borderId="0" applyFill="0" applyBorder="0" applyAlignment="0" applyProtection="0"/>
    <xf numFmtId="219"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220" fontId="75" fillId="0" borderId="0" applyFill="0" applyBorder="0" applyAlignment="0" applyProtection="0"/>
    <xf numFmtId="218"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218" fontId="75" fillId="0" borderId="0" applyFill="0" applyBorder="0" applyAlignment="0" applyProtection="0"/>
    <xf numFmtId="221" fontId="75" fillId="0" borderId="0" applyFill="0" applyBorder="0" applyAlignment="0" applyProtection="0"/>
    <xf numFmtId="0" fontId="75" fillId="0" borderId="0" applyFill="0" applyBorder="0" applyAlignment="0" applyProtection="0"/>
    <xf numFmtId="0" fontId="75" fillId="0" borderId="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216"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1" fontId="4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2" fontId="75" fillId="0" borderId="0" applyFill="0" applyBorder="0" applyAlignment="0" applyProtection="0"/>
    <xf numFmtId="222" fontId="75" fillId="0" borderId="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2" fontId="75" fillId="0" borderId="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2"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4"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223" fontId="75" fillId="0" borderId="0" applyFill="0" applyBorder="0" applyAlignment="0" applyProtection="0"/>
    <xf numFmtId="223" fontId="75" fillId="0" borderId="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224"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180" fontId="44" fillId="0" borderId="0" applyFont="0" applyFill="0" applyBorder="0" applyAlignment="0" applyProtection="0"/>
    <xf numFmtId="224" fontId="44" fillId="0" borderId="0" applyFon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181" fontId="24" fillId="0" borderId="0" applyFon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08" fontId="24" fillId="0" borderId="0" applyFont="0" applyFill="0" applyBorder="0" applyAlignment="0" applyProtection="0"/>
    <xf numFmtId="204" fontId="24" fillId="0" borderId="0" applyFont="0" applyFill="0" applyBorder="0" applyAlignment="0" applyProtection="0"/>
    <xf numFmtId="196" fontId="75" fillId="0" borderId="0" applyFill="0" applyBorder="0" applyAlignment="0" applyProtection="0"/>
    <xf numFmtId="0" fontId="45" fillId="0" borderId="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45" fillId="0" borderId="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287" fontId="80" fillId="0" borderId="0" applyFont="0" applyFill="0" applyBorder="0" applyAlignment="0" applyProtection="0"/>
    <xf numFmtId="0" fontId="75" fillId="0" borderId="0"/>
    <xf numFmtId="0" fontId="75" fillId="0" borderId="0"/>
    <xf numFmtId="0" fontId="75" fillId="0" borderId="0"/>
    <xf numFmtId="0" fontId="81" fillId="0" borderId="0"/>
    <xf numFmtId="0" fontId="81" fillId="0" borderId="0"/>
    <xf numFmtId="0" fontId="81" fillId="0" borderId="0"/>
    <xf numFmtId="0" fontId="46" fillId="0" borderId="0"/>
    <xf numFmtId="1" fontId="82" fillId="0" borderId="29" applyBorder="0" applyAlignment="0">
      <alignment horizontal="center"/>
    </xf>
    <xf numFmtId="2" fontId="83" fillId="2" borderId="28">
      <alignment horizontal="center"/>
    </xf>
    <xf numFmtId="1" fontId="84" fillId="0" borderId="29" applyBorder="0" applyAlignment="0">
      <alignment horizontal="center"/>
    </xf>
    <xf numFmtId="1" fontId="84" fillId="0" borderId="29" applyBorder="0" applyAlignment="0">
      <alignment horizontal="center"/>
    </xf>
    <xf numFmtId="1" fontId="82" fillId="0" borderId="29" applyBorder="0" applyAlignment="0">
      <alignment horizontal="center"/>
    </xf>
    <xf numFmtId="1" fontId="84" fillId="0" borderId="29" applyBorder="0" applyAlignment="0">
      <alignment horizontal="center"/>
    </xf>
    <xf numFmtId="288" fontId="75" fillId="0" borderId="0" applyFill="0" applyBorder="0" applyAlignment="0" applyProtection="0"/>
    <xf numFmtId="0" fontId="48" fillId="4" borderId="0"/>
    <xf numFmtId="288" fontId="75" fillId="0" borderId="0" applyFill="0" applyBorder="0" applyAlignment="0" applyProtection="0"/>
    <xf numFmtId="287" fontId="80" fillId="0" borderId="0" applyFont="0" applyFill="0" applyBorder="0" applyAlignment="0" applyProtection="0"/>
    <xf numFmtId="0" fontId="75" fillId="0" borderId="0" applyFill="0" applyBorder="0" applyAlignment="0"/>
    <xf numFmtId="0" fontId="75" fillId="0" borderId="0" applyFill="0" applyBorder="0" applyAlignment="0"/>
    <xf numFmtId="0" fontId="75" fillId="0" borderId="0" applyFill="0" applyBorder="0" applyAlignment="0"/>
    <xf numFmtId="0" fontId="75" fillId="0" borderId="0" applyFill="0" applyBorder="0" applyAlignment="0"/>
    <xf numFmtId="287" fontId="80" fillId="0" borderId="0" applyFont="0" applyFill="0" applyBorder="0" applyAlignment="0" applyProtection="0"/>
    <xf numFmtId="0" fontId="75" fillId="0" borderId="0" applyFill="0" applyBorder="0" applyAlignment="0"/>
    <xf numFmtId="0" fontId="75" fillId="0" borderId="0" applyFill="0" applyBorder="0" applyAlignment="0"/>
    <xf numFmtId="0" fontId="48" fillId="8" borderId="0"/>
    <xf numFmtId="0" fontId="48" fillId="4" borderId="0"/>
    <xf numFmtId="0" fontId="48" fillId="4" borderId="0"/>
    <xf numFmtId="287" fontId="80" fillId="0" borderId="0" applyFont="0" applyFill="0" applyBorder="0" applyAlignment="0" applyProtection="0"/>
    <xf numFmtId="287" fontId="80" fillId="0" borderId="0" applyFont="0" applyFill="0" applyBorder="0" applyAlignment="0" applyProtection="0"/>
    <xf numFmtId="0" fontId="85" fillId="4" borderId="0"/>
    <xf numFmtId="0" fontId="75" fillId="0" borderId="0" applyFill="0" applyBorder="0" applyAlignment="0"/>
    <xf numFmtId="0" fontId="48" fillId="4" borderId="0"/>
    <xf numFmtId="287" fontId="80" fillId="0" borderId="0" applyFont="0" applyFill="0" applyBorder="0" applyAlignment="0" applyProtection="0"/>
    <xf numFmtId="287" fontId="80" fillId="0" borderId="0" applyFont="0" applyFill="0" applyBorder="0" applyAlignment="0" applyProtection="0"/>
    <xf numFmtId="287" fontId="80" fillId="0" borderId="0" applyFont="0" applyFill="0" applyBorder="0" applyAlignment="0" applyProtection="0"/>
    <xf numFmtId="0" fontId="48" fillId="4" borderId="0"/>
    <xf numFmtId="0" fontId="48" fillId="8" borderId="0"/>
    <xf numFmtId="0" fontId="48" fillId="4" borderId="0"/>
    <xf numFmtId="287" fontId="80" fillId="0" borderId="0" applyFont="0" applyFill="0" applyBorder="0" applyAlignment="0" applyProtection="0"/>
    <xf numFmtId="287" fontId="80" fillId="0" borderId="0" applyFont="0" applyFill="0" applyBorder="0" applyAlignment="0" applyProtection="0"/>
    <xf numFmtId="287" fontId="80" fillId="0" borderId="0" applyFont="0" applyFill="0" applyBorder="0" applyAlignment="0" applyProtection="0"/>
    <xf numFmtId="287" fontId="80" fillId="0" borderId="0" applyFont="0" applyFill="0" applyBorder="0" applyAlignment="0" applyProtection="0"/>
    <xf numFmtId="287" fontId="80" fillId="0" borderId="0" applyFont="0" applyFill="0" applyBorder="0" applyAlignment="0" applyProtection="0"/>
    <xf numFmtId="0" fontId="48" fillId="4" borderId="0"/>
    <xf numFmtId="0" fontId="75" fillId="0" borderId="0" applyFill="0" applyBorder="0" applyAlignment="0"/>
    <xf numFmtId="0" fontId="75" fillId="0" borderId="0" applyFill="0" applyBorder="0" applyAlignment="0"/>
    <xf numFmtId="287" fontId="80" fillId="0" borderId="0" applyFont="0" applyFill="0" applyBorder="0" applyAlignment="0" applyProtection="0"/>
    <xf numFmtId="0" fontId="48" fillId="4" borderId="0"/>
    <xf numFmtId="0" fontId="48" fillId="4" borderId="0"/>
    <xf numFmtId="0" fontId="48" fillId="4" borderId="0"/>
    <xf numFmtId="0" fontId="86" fillId="0" borderId="0" applyFont="0" applyFill="0" applyBorder="0" applyAlignment="0">
      <alignment horizontal="left"/>
    </xf>
    <xf numFmtId="0" fontId="48" fillId="4" borderId="0"/>
    <xf numFmtId="0" fontId="29" fillId="0" borderId="46" applyNumberFormat="0" applyFont="0" applyBorder="0" applyAlignment="0">
      <alignment horizontal="center" vertical="center"/>
    </xf>
    <xf numFmtId="287" fontId="80" fillId="0" borderId="0" applyFont="0" applyFill="0" applyBorder="0" applyAlignment="0" applyProtection="0"/>
    <xf numFmtId="288" fontId="75" fillId="0" borderId="0" applyFill="0" applyBorder="0" applyAlignment="0" applyProtection="0"/>
    <xf numFmtId="287" fontId="80" fillId="0" borderId="0" applyFont="0" applyFill="0" applyBorder="0" applyAlignment="0" applyProtection="0"/>
    <xf numFmtId="287" fontId="80" fillId="0" borderId="0" applyFont="0" applyFill="0" applyBorder="0" applyAlignment="0" applyProtection="0"/>
    <xf numFmtId="0" fontId="48" fillId="8" borderId="0"/>
    <xf numFmtId="287" fontId="80" fillId="0" borderId="0" applyFont="0" applyFill="0" applyBorder="0" applyAlignment="0" applyProtection="0"/>
    <xf numFmtId="288" fontId="75" fillId="0" borderId="0" applyFill="0" applyBorder="0" applyAlignment="0" applyProtection="0"/>
    <xf numFmtId="287" fontId="80" fillId="0" borderId="0" applyFont="0" applyFill="0" applyBorder="0" applyAlignment="0" applyProtection="0"/>
    <xf numFmtId="288" fontId="75" fillId="0" borderId="0" applyFill="0" applyBorder="0" applyAlignment="0" applyProtection="0"/>
    <xf numFmtId="287" fontId="80" fillId="0" borderId="0" applyFont="0" applyFill="0" applyBorder="0" applyAlignment="0" applyProtection="0"/>
    <xf numFmtId="288" fontId="75" fillId="0" borderId="0" applyFill="0" applyBorder="0" applyAlignment="0" applyProtection="0"/>
    <xf numFmtId="0" fontId="48" fillId="8" borderId="0"/>
    <xf numFmtId="0" fontId="48" fillId="8" borderId="0"/>
    <xf numFmtId="0" fontId="48" fillId="8" borderId="0"/>
    <xf numFmtId="0" fontId="48" fillId="8" borderId="0"/>
    <xf numFmtId="0" fontId="48" fillId="8" borderId="0"/>
    <xf numFmtId="0" fontId="48" fillId="4" borderId="0"/>
    <xf numFmtId="0" fontId="48" fillId="4" borderId="0"/>
    <xf numFmtId="0" fontId="48" fillId="4" borderId="0"/>
    <xf numFmtId="0" fontId="48" fillId="8" borderId="0"/>
    <xf numFmtId="0" fontId="48" fillId="4" borderId="0"/>
    <xf numFmtId="0" fontId="48" fillId="4" borderId="0"/>
    <xf numFmtId="287" fontId="80" fillId="0" borderId="0" applyFont="0" applyFill="0" applyBorder="0" applyAlignment="0" applyProtection="0"/>
    <xf numFmtId="289" fontId="24" fillId="0" borderId="0" applyNumberFormat="0" applyFont="0" applyBorder="0" applyAlignment="0">
      <protection hidden="1"/>
    </xf>
    <xf numFmtId="9" fontId="87" fillId="0" borderId="0" applyBorder="0" applyAlignment="0" applyProtection="0"/>
    <xf numFmtId="0" fontId="85" fillId="4" borderId="0"/>
    <xf numFmtId="0" fontId="63" fillId="0" borderId="0"/>
    <xf numFmtId="0" fontId="85" fillId="4" borderId="0"/>
    <xf numFmtId="0" fontId="85" fillId="0" borderId="0">
      <alignment wrapText="1"/>
    </xf>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88" fillId="0" borderId="0"/>
    <xf numFmtId="42" fontId="46" fillId="0" borderId="0" applyFont="0" applyFill="0" applyBorder="0" applyAlignment="0" applyProtection="0"/>
    <xf numFmtId="0" fontId="52" fillId="0" borderId="0" applyFont="0" applyFill="0" applyBorder="0" applyAlignment="0" applyProtection="0"/>
    <xf numFmtId="290" fontId="46" fillId="0" borderId="0" applyFont="0" applyFill="0" applyBorder="0" applyAlignment="0" applyProtection="0"/>
    <xf numFmtId="291" fontId="46" fillId="0" borderId="0" applyFont="0" applyFill="0" applyBorder="0" applyAlignment="0" applyProtection="0"/>
    <xf numFmtId="0" fontId="52" fillId="0" borderId="0" applyFont="0" applyFill="0" applyBorder="0" applyAlignment="0" applyProtection="0"/>
    <xf numFmtId="292" fontId="89" fillId="0" borderId="0" applyFont="0" applyFill="0" applyBorder="0" applyAlignment="0" applyProtection="0"/>
    <xf numFmtId="0" fontId="90" fillId="0" borderId="0"/>
    <xf numFmtId="0" fontId="7" fillId="0" borderId="0">
      <alignment horizontal="center" wrapText="1"/>
      <protection locked="0"/>
    </xf>
    <xf numFmtId="41" fontId="46" fillId="0" borderId="0" applyFont="0" applyFill="0" applyBorder="0" applyAlignment="0" applyProtection="0"/>
    <xf numFmtId="265" fontId="89" fillId="0" borderId="0" applyFont="0" applyFill="0" applyBorder="0" applyAlignment="0" applyProtection="0"/>
    <xf numFmtId="227" fontId="89" fillId="0" borderId="0" applyFont="0" applyFill="0" applyBorder="0" applyAlignment="0" applyProtection="0"/>
    <xf numFmtId="227" fontId="89" fillId="0" borderId="0" applyFont="0" applyFill="0" applyBorder="0" applyAlignment="0" applyProtection="0"/>
    <xf numFmtId="181" fontId="44" fillId="0" borderId="0" applyFont="0" applyFill="0" applyBorder="0" applyAlignment="0" applyProtection="0"/>
    <xf numFmtId="3" fontId="91" fillId="0" borderId="46">
      <alignment horizontal="left"/>
    </xf>
    <xf numFmtId="4" fontId="91" fillId="0" borderId="46">
      <alignment horizontal="center"/>
    </xf>
    <xf numFmtId="3" fontId="91" fillId="0" borderId="44">
      <alignment horizontal="left"/>
    </xf>
    <xf numFmtId="3" fontId="91" fillId="0" borderId="46">
      <alignment horizontal="left"/>
    </xf>
    <xf numFmtId="0" fontId="92" fillId="0" borderId="0"/>
    <xf numFmtId="0" fontId="93" fillId="0" borderId="0" applyNumberFormat="0" applyFill="0" applyBorder="0" applyAlignment="0" applyProtection="0"/>
    <xf numFmtId="0" fontId="9" fillId="0" borderId="0"/>
    <xf numFmtId="0" fontId="94" fillId="0" borderId="0"/>
    <xf numFmtId="0" fontId="95" fillId="0" borderId="0"/>
    <xf numFmtId="0" fontId="96" fillId="0" borderId="0"/>
    <xf numFmtId="293" fontId="63" fillId="0" borderId="0" applyFill="0" applyBorder="0" applyAlignment="0"/>
    <xf numFmtId="294" fontId="46" fillId="0" borderId="0" applyFill="0" applyBorder="0" applyAlignment="0"/>
    <xf numFmtId="295" fontId="46" fillId="0" borderId="0" applyFill="0" applyBorder="0" applyAlignment="0"/>
    <xf numFmtId="296" fontId="46" fillId="0" borderId="0" applyFill="0" applyBorder="0" applyAlignment="0"/>
    <xf numFmtId="297" fontId="46" fillId="0" borderId="0" applyFill="0" applyBorder="0" applyAlignment="0"/>
    <xf numFmtId="298" fontId="46" fillId="0" borderId="0" applyFill="0" applyBorder="0" applyAlignment="0"/>
    <xf numFmtId="299" fontId="46" fillId="0" borderId="0" applyFill="0" applyBorder="0" applyAlignment="0"/>
    <xf numFmtId="294" fontId="46" fillId="0" borderId="0" applyFill="0" applyBorder="0" applyAlignment="0"/>
    <xf numFmtId="0" fontId="97" fillId="0" borderId="0"/>
    <xf numFmtId="300" fontId="98" fillId="0" borderId="38" applyBorder="0"/>
    <xf numFmtId="300" fontId="99" fillId="0" borderId="9">
      <protection locked="0"/>
    </xf>
    <xf numFmtId="301" fontId="24" fillId="0" borderId="0" applyFont="0" applyFill="0" applyBorder="0" applyAlignment="0" applyProtection="0"/>
    <xf numFmtId="302" fontId="100" fillId="0" borderId="9"/>
    <xf numFmtId="166" fontId="101" fillId="0" borderId="0" applyFont="0" applyFill="0" applyBorder="0" applyAlignment="0" applyProtection="0"/>
    <xf numFmtId="1" fontId="102" fillId="0" borderId="27" applyBorder="0"/>
    <xf numFmtId="231" fontId="88" fillId="0" borderId="0" applyFont="0" applyFill="0" applyBorder="0" applyAlignment="0" applyProtection="0"/>
    <xf numFmtId="303" fontId="103" fillId="0" borderId="0"/>
    <xf numFmtId="303" fontId="103" fillId="0" borderId="0"/>
    <xf numFmtId="303" fontId="103" fillId="0" borderId="0"/>
    <xf numFmtId="303" fontId="103" fillId="0" borderId="0"/>
    <xf numFmtId="303" fontId="103" fillId="0" borderId="0"/>
    <xf numFmtId="303" fontId="103" fillId="0" borderId="0"/>
    <xf numFmtId="303" fontId="103" fillId="0" borderId="0"/>
    <xf numFmtId="303" fontId="103" fillId="0" borderId="0"/>
    <xf numFmtId="0" fontId="104" fillId="0" borderId="29"/>
    <xf numFmtId="41" fontId="46" fillId="0" borderId="0" applyFont="0" applyFill="0" applyBorder="0" applyAlignment="0" applyProtection="0"/>
    <xf numFmtId="298" fontId="4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304" fontId="72"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24" fillId="0" borderId="0" applyFont="0" applyFill="0" applyBorder="0" applyAlignment="0" applyProtection="0"/>
    <xf numFmtId="305" fontId="72" fillId="0" borderId="0" applyFont="0" applyFill="0" applyBorder="0" applyAlignment="0" applyProtection="0"/>
    <xf numFmtId="305" fontId="72" fillId="0" borderId="0" applyFont="0" applyFill="0" applyBorder="0" applyAlignment="0" applyProtection="0"/>
    <xf numFmtId="305" fontId="72" fillId="0" borderId="0" applyFont="0" applyFill="0" applyBorder="0" applyAlignment="0" applyProtection="0"/>
    <xf numFmtId="43" fontId="44" fillId="0" borderId="0" applyFont="0" applyFill="0" applyBorder="0" applyAlignment="0" applyProtection="0"/>
    <xf numFmtId="43" fontId="6" fillId="0" borderId="0" applyFont="0" applyFill="0" applyBorder="0" applyAlignment="0" applyProtection="0"/>
    <xf numFmtId="306" fontId="9" fillId="0" borderId="0"/>
    <xf numFmtId="40" fontId="105" fillId="0" borderId="0" applyFont="0" applyFill="0" applyBorder="0" applyAlignment="0" applyProtection="0"/>
    <xf numFmtId="0" fontId="106" fillId="0" borderId="0"/>
    <xf numFmtId="0" fontId="107" fillId="0" borderId="0"/>
    <xf numFmtId="37" fontId="46" fillId="0" borderId="0" applyFill="0" applyBorder="0" applyAlignment="0" applyProtection="0"/>
    <xf numFmtId="0" fontId="106" fillId="0" borderId="0"/>
    <xf numFmtId="0" fontId="107" fillId="0" borderId="0"/>
    <xf numFmtId="40" fontId="105" fillId="0" borderId="0" applyFont="0" applyFill="0" applyBorder="0" applyAlignment="0" applyProtection="0"/>
    <xf numFmtId="0" fontId="108" fillId="0" borderId="0" applyNumberFormat="0" applyAlignment="0">
      <alignment horizontal="left"/>
    </xf>
    <xf numFmtId="0" fontId="109" fillId="0" borderId="23" applyNumberFormat="0" applyFont="0" applyAlignment="0">
      <alignment horizontal="center" vertical="center"/>
    </xf>
    <xf numFmtId="307" fontId="110" fillId="0" borderId="0">
      <protection locked="0"/>
    </xf>
    <xf numFmtId="308" fontId="110" fillId="0" borderId="0">
      <protection locked="0"/>
    </xf>
    <xf numFmtId="309" fontId="111" fillId="0" borderId="25">
      <protection locked="0"/>
    </xf>
    <xf numFmtId="310" fontId="110" fillId="0" borderId="0">
      <protection locked="0"/>
    </xf>
    <xf numFmtId="311" fontId="110" fillId="0" borderId="0">
      <protection locked="0"/>
    </xf>
    <xf numFmtId="310" fontId="110" fillId="0" borderId="0" applyNumberFormat="0">
      <protection locked="0"/>
    </xf>
    <xf numFmtId="310" fontId="110" fillId="0" borderId="0">
      <protection locked="0"/>
    </xf>
    <xf numFmtId="300" fontId="112" fillId="0" borderId="44"/>
    <xf numFmtId="312" fontId="112" fillId="0" borderId="44"/>
    <xf numFmtId="0" fontId="24" fillId="0" borderId="0" applyNumberFormat="0" applyFont="0" applyAlignment="0">
      <alignment horizontal="center"/>
    </xf>
    <xf numFmtId="313" fontId="46" fillId="0" borderId="0" applyFont="0" applyFill="0" applyBorder="0" applyAlignment="0" applyProtection="0"/>
    <xf numFmtId="314" fontId="46" fillId="0" borderId="0" applyFont="0" applyFill="0" applyBorder="0" applyAlignment="0" applyProtection="0"/>
    <xf numFmtId="294" fontId="46" fillId="0" borderId="0" applyFont="0" applyFill="0" applyBorder="0" applyAlignment="0" applyProtection="0"/>
    <xf numFmtId="44" fontId="44" fillId="0" borderId="0" applyFont="0" applyFill="0" applyBorder="0" applyAlignment="0" applyProtection="0"/>
    <xf numFmtId="44" fontId="6" fillId="0" borderId="0" applyFont="0" applyFill="0" applyBorder="0" applyAlignment="0" applyProtection="0"/>
    <xf numFmtId="315" fontId="46" fillId="0" borderId="0" applyFont="0" applyFill="0" applyBorder="0" applyAlignment="0" applyProtection="0"/>
    <xf numFmtId="316" fontId="46" fillId="0" borderId="0"/>
    <xf numFmtId="300" fontId="73" fillId="0" borderId="44">
      <alignment horizontal="center"/>
      <protection hidden="1"/>
    </xf>
    <xf numFmtId="317" fontId="113" fillId="0" borderId="44">
      <alignment horizontal="center"/>
      <protection hidden="1"/>
    </xf>
    <xf numFmtId="4" fontId="91" fillId="0" borderId="44"/>
    <xf numFmtId="2" fontId="73" fillId="0" borderId="44">
      <alignment horizontal="center"/>
      <protection hidden="1"/>
    </xf>
    <xf numFmtId="14" fontId="114" fillId="0" borderId="0" applyFill="0" applyBorder="0" applyAlignment="0"/>
    <xf numFmtId="0" fontId="75" fillId="0" borderId="0" applyFill="0" applyBorder="0" applyAlignment="0" applyProtection="0"/>
    <xf numFmtId="16" fontId="46" fillId="0" borderId="0"/>
    <xf numFmtId="16" fontId="46" fillId="0" borderId="0"/>
    <xf numFmtId="38" fontId="115" fillId="0" borderId="47">
      <alignment vertical="center"/>
    </xf>
    <xf numFmtId="318" fontId="115" fillId="0" borderId="0" applyFont="0" applyFill="0" applyBorder="0" applyAlignment="0" applyProtection="0"/>
    <xf numFmtId="319" fontId="115" fillId="0" borderId="0" applyFont="0" applyFill="0" applyBorder="0" applyAlignment="0" applyProtection="0"/>
    <xf numFmtId="0" fontId="116" fillId="0" borderId="0">
      <protection locked="0"/>
    </xf>
    <xf numFmtId="320" fontId="46" fillId="0" borderId="0"/>
    <xf numFmtId="0" fontId="117" fillId="0" borderId="0" applyBorder="0" applyAlignment="0"/>
    <xf numFmtId="179" fontId="118" fillId="0" borderId="0" applyFont="0" applyFill="0" applyBorder="0" applyAlignment="0" applyProtection="0"/>
    <xf numFmtId="180" fontId="118" fillId="0" borderId="0" applyFont="0" applyFill="0" applyBorder="0" applyAlignment="0" applyProtection="0"/>
    <xf numFmtId="179" fontId="118" fillId="0" borderId="0" applyFont="0" applyFill="0" applyBorder="0" applyAlignment="0" applyProtection="0"/>
    <xf numFmtId="41" fontId="118" fillId="0" borderId="0" applyFont="0" applyFill="0" applyBorder="0" applyAlignment="0" applyProtection="0"/>
    <xf numFmtId="253" fontId="75" fillId="0" borderId="0" applyFill="0" applyBorder="0" applyAlignment="0" applyProtection="0"/>
    <xf numFmtId="189" fontId="75" fillId="0" borderId="0" applyFill="0" applyBorder="0" applyAlignment="0" applyProtection="0"/>
    <xf numFmtId="41" fontId="118" fillId="0" borderId="0" applyFont="0" applyFill="0" applyBorder="0" applyAlignment="0" applyProtection="0"/>
    <xf numFmtId="179" fontId="118" fillId="0" borderId="0" applyFont="0" applyFill="0" applyBorder="0" applyAlignment="0" applyProtection="0"/>
    <xf numFmtId="253" fontId="75" fillId="0" borderId="0" applyFill="0" applyBorder="0" applyAlignment="0" applyProtection="0"/>
    <xf numFmtId="253" fontId="75" fillId="0" borderId="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41" fontId="118" fillId="0" borderId="0" applyFont="0" applyFill="0" applyBorder="0" applyAlignment="0" applyProtection="0"/>
    <xf numFmtId="179" fontId="118" fillId="0" borderId="0" applyFont="0" applyFill="0" applyBorder="0" applyAlignment="0" applyProtection="0"/>
    <xf numFmtId="179" fontId="118" fillId="0" borderId="0" applyFont="0" applyFill="0" applyBorder="0" applyAlignment="0" applyProtection="0"/>
    <xf numFmtId="179" fontId="118" fillId="0" borderId="0" applyFont="0" applyFill="0" applyBorder="0" applyAlignment="0" applyProtection="0"/>
    <xf numFmtId="253" fontId="75" fillId="0" borderId="0" applyFill="0" applyBorder="0" applyAlignment="0" applyProtection="0"/>
    <xf numFmtId="253" fontId="75" fillId="0" borderId="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189" fontId="75" fillId="0" borderId="0" applyFill="0" applyBorder="0" applyAlignment="0" applyProtection="0"/>
    <xf numFmtId="189" fontId="75" fillId="0" borderId="0" applyFill="0" applyBorder="0" applyAlignment="0" applyProtection="0"/>
    <xf numFmtId="305" fontId="118" fillId="0" borderId="0" applyFont="0" applyFill="0" applyBorder="0" applyAlignment="0" applyProtection="0"/>
    <xf numFmtId="305" fontId="118" fillId="0" borderId="0" applyFont="0" applyFill="0" applyBorder="0" applyAlignment="0" applyProtection="0"/>
    <xf numFmtId="321" fontId="75" fillId="0" borderId="0" applyFill="0" applyBorder="0" applyAlignment="0" applyProtection="0"/>
    <xf numFmtId="321" fontId="75" fillId="0" borderId="0" applyFill="0" applyBorder="0" applyAlignment="0" applyProtection="0"/>
    <xf numFmtId="41" fontId="118" fillId="0" borderId="0" applyFont="0" applyFill="0" applyBorder="0" applyAlignment="0" applyProtection="0"/>
    <xf numFmtId="180" fontId="118" fillId="0" borderId="0" applyFont="0" applyFill="0" applyBorder="0" applyAlignment="0" applyProtection="0"/>
    <xf numFmtId="43" fontId="118" fillId="0" borderId="0" applyFont="0" applyFill="0" applyBorder="0" applyAlignment="0" applyProtection="0"/>
    <xf numFmtId="222" fontId="75" fillId="0" borderId="0" applyFill="0" applyBorder="0" applyAlignment="0" applyProtection="0"/>
    <xf numFmtId="322" fontId="75" fillId="0" borderId="0" applyFill="0" applyBorder="0" applyAlignment="0" applyProtection="0"/>
    <xf numFmtId="43" fontId="118" fillId="0" borderId="0" applyFont="0" applyFill="0" applyBorder="0" applyAlignment="0" applyProtection="0"/>
    <xf numFmtId="180" fontId="118" fillId="0" borderId="0" applyFont="0" applyFill="0" applyBorder="0" applyAlignment="0" applyProtection="0"/>
    <xf numFmtId="222" fontId="75" fillId="0" borderId="0" applyFill="0" applyBorder="0" applyAlignment="0" applyProtection="0"/>
    <xf numFmtId="222" fontId="75" fillId="0" borderId="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322" fontId="75" fillId="0" borderId="0" applyFill="0" applyBorder="0" applyAlignment="0" applyProtection="0"/>
    <xf numFmtId="322" fontId="75" fillId="0" borderId="0" applyFill="0" applyBorder="0" applyAlignment="0" applyProtection="0"/>
    <xf numFmtId="43" fontId="118" fillId="0" borderId="0" applyFont="0" applyFill="0" applyBorder="0" applyAlignment="0" applyProtection="0"/>
    <xf numFmtId="180" fontId="118" fillId="0" borderId="0" applyFont="0" applyFill="0" applyBorder="0" applyAlignment="0" applyProtection="0"/>
    <xf numFmtId="180" fontId="118" fillId="0" borderId="0" applyFont="0" applyFill="0" applyBorder="0" applyAlignment="0" applyProtection="0"/>
    <xf numFmtId="180" fontId="118" fillId="0" borderId="0" applyFont="0" applyFill="0" applyBorder="0" applyAlignment="0" applyProtection="0"/>
    <xf numFmtId="222" fontId="75" fillId="0" borderId="0" applyFill="0" applyBorder="0" applyAlignment="0" applyProtection="0"/>
    <xf numFmtId="222" fontId="75" fillId="0" borderId="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322" fontId="75" fillId="0" borderId="0" applyFill="0" applyBorder="0" applyAlignment="0" applyProtection="0"/>
    <xf numFmtId="322" fontId="75" fillId="0" borderId="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323" fontId="75" fillId="0" borderId="0" applyFill="0" applyBorder="0" applyAlignment="0" applyProtection="0"/>
    <xf numFmtId="323" fontId="75" fillId="0" borderId="0" applyFill="0" applyBorder="0" applyAlignment="0" applyProtection="0"/>
    <xf numFmtId="43" fontId="118" fillId="0" borderId="0" applyFont="0" applyFill="0" applyBorder="0" applyAlignment="0" applyProtection="0"/>
    <xf numFmtId="3" fontId="63" fillId="0" borderId="0" applyFont="0" applyBorder="0" applyAlignment="0"/>
    <xf numFmtId="0" fontId="119" fillId="0" borderId="0">
      <alignment vertical="center"/>
    </xf>
    <xf numFmtId="0" fontId="120" fillId="0" borderId="0">
      <protection locked="0"/>
    </xf>
    <xf numFmtId="0" fontId="120" fillId="0" borderId="0">
      <protection locked="0"/>
    </xf>
    <xf numFmtId="298" fontId="46" fillId="0" borderId="0" applyFill="0" applyBorder="0" applyAlignment="0"/>
    <xf numFmtId="294" fontId="46" fillId="0" borderId="0" applyFill="0" applyBorder="0" applyAlignment="0"/>
    <xf numFmtId="298" fontId="46" fillId="0" borderId="0" applyFill="0" applyBorder="0" applyAlignment="0"/>
    <xf numFmtId="299" fontId="46" fillId="0" borderId="0" applyFill="0" applyBorder="0" applyAlignment="0"/>
    <xf numFmtId="294" fontId="46" fillId="0" borderId="0" applyFill="0" applyBorder="0" applyAlignment="0"/>
    <xf numFmtId="0" fontId="121" fillId="0" borderId="0" applyNumberFormat="0" applyAlignment="0">
      <alignment horizontal="left"/>
    </xf>
    <xf numFmtId="0" fontId="75" fillId="0" borderId="0"/>
    <xf numFmtId="3" fontId="63" fillId="0" borderId="0" applyFont="0" applyBorder="0" applyAlignment="0"/>
    <xf numFmtId="4" fontId="116" fillId="0" borderId="0">
      <protection locked="0"/>
    </xf>
    <xf numFmtId="4" fontId="116" fillId="0" borderId="0">
      <protection locked="0"/>
    </xf>
    <xf numFmtId="4" fontId="122" fillId="0" borderId="0">
      <protection locked="0"/>
    </xf>
    <xf numFmtId="4" fontId="116" fillId="0" borderId="0">
      <protection locked="0"/>
    </xf>
    <xf numFmtId="4" fontId="116" fillId="0" borderId="0">
      <protection locked="0"/>
    </xf>
    <xf numFmtId="4" fontId="116" fillId="0" borderId="0">
      <protection locked="0"/>
    </xf>
    <xf numFmtId="4" fontId="122" fillId="0" borderId="0">
      <protection locked="0"/>
    </xf>
    <xf numFmtId="0" fontId="116" fillId="0" borderId="0">
      <protection locked="0"/>
    </xf>
    <xf numFmtId="0" fontId="116" fillId="0" borderId="0">
      <protection locked="0"/>
    </xf>
    <xf numFmtId="3" fontId="123" fillId="0" borderId="0" applyNumberFormat="0" applyFill="0" applyBorder="0" applyAlignment="0" applyProtection="0"/>
    <xf numFmtId="0" fontId="124" fillId="0" borderId="0" applyNumberFormat="0" applyFill="0" applyBorder="0" applyAlignment="0" applyProtection="0"/>
    <xf numFmtId="0" fontId="125" fillId="0" borderId="0" applyNumberFormat="0" applyFill="0" applyBorder="0" applyProtection="0">
      <alignment vertical="center"/>
    </xf>
    <xf numFmtId="0" fontId="126" fillId="0" borderId="0" applyNumberFormat="0" applyFill="0" applyBorder="0" applyAlignment="0" applyProtection="0"/>
    <xf numFmtId="0" fontId="127" fillId="0" borderId="0" applyNumberFormat="0" applyFill="0" applyBorder="0" applyProtection="0">
      <alignment vertical="center"/>
    </xf>
    <xf numFmtId="0" fontId="128" fillId="0" borderId="0" applyNumberFormat="0" applyFill="0" applyBorder="0" applyAlignment="0" applyProtection="0"/>
    <xf numFmtId="0" fontId="129" fillId="0" borderId="0" applyNumberFormat="0" applyFill="0" applyBorder="0" applyAlignment="0" applyProtection="0"/>
    <xf numFmtId="324" fontId="130" fillId="0" borderId="48" applyNumberFormat="0" applyFill="0" applyBorder="0" applyAlignment="0" applyProtection="0"/>
    <xf numFmtId="0" fontId="131" fillId="0" borderId="0" applyNumberFormat="0" applyFill="0" applyBorder="0" applyAlignment="0" applyProtection="0"/>
    <xf numFmtId="0" fontId="132" fillId="9" borderId="49" applyNumberFormat="0" applyAlignment="0">
      <protection locked="0"/>
    </xf>
    <xf numFmtId="38" fontId="133" fillId="2" borderId="0" applyNumberFormat="0" applyBorder="0" applyAlignment="0" applyProtection="0"/>
    <xf numFmtId="325" fontId="13" fillId="4" borderId="0" applyBorder="0" applyProtection="0"/>
    <xf numFmtId="0" fontId="134" fillId="0" borderId="30" applyNumberFormat="0" applyFill="0" applyBorder="0" applyAlignment="0" applyProtection="0">
      <alignment horizontal="center" vertical="center"/>
    </xf>
    <xf numFmtId="0" fontId="135" fillId="0" borderId="0" applyNumberFormat="0" applyFont="0" applyBorder="0" applyAlignment="0">
      <alignment horizontal="left" vertical="center"/>
    </xf>
    <xf numFmtId="0" fontId="136" fillId="10" borderId="0"/>
    <xf numFmtId="0" fontId="137" fillId="0" borderId="0">
      <alignment horizontal="left"/>
    </xf>
    <xf numFmtId="326" fontId="44" fillId="0" borderId="0">
      <protection locked="0"/>
    </xf>
    <xf numFmtId="327" fontId="138" fillId="0" borderId="0">
      <protection locked="0"/>
    </xf>
    <xf numFmtId="326" fontId="44" fillId="0" borderId="0">
      <protection locked="0"/>
    </xf>
    <xf numFmtId="0" fontId="139" fillId="0" borderId="50">
      <alignment horizontal="center"/>
    </xf>
    <xf numFmtId="0" fontId="139" fillId="0" borderId="0">
      <alignment horizontal="center"/>
    </xf>
    <xf numFmtId="5" fontId="140" fillId="11" borderId="29" applyNumberFormat="0" applyAlignment="0">
      <alignment horizontal="left" vertical="top"/>
    </xf>
    <xf numFmtId="49" fontId="141" fillId="0" borderId="29">
      <alignment vertical="center"/>
    </xf>
    <xf numFmtId="179" fontId="63" fillId="0" borderId="0" applyFont="0" applyFill="0" applyBorder="0" applyAlignment="0" applyProtection="0"/>
    <xf numFmtId="38" fontId="115" fillId="0" borderId="0" applyFont="0" applyFill="0" applyBorder="0" applyAlignment="0" applyProtection="0"/>
    <xf numFmtId="38" fontId="75" fillId="0" borderId="0" applyFill="0" applyBorder="0" applyAlignment="0" applyProtection="0"/>
    <xf numFmtId="38" fontId="75" fillId="0" borderId="0" applyFill="0" applyBorder="0" applyAlignment="0" applyProtection="0"/>
    <xf numFmtId="283" fontId="24" fillId="0" borderId="0" applyFont="0" applyFill="0" applyBorder="0" applyAlignment="0" applyProtection="0"/>
    <xf numFmtId="226" fontId="75" fillId="0" borderId="0" applyFill="0" applyBorder="0" applyAlignment="0" applyProtection="0"/>
    <xf numFmtId="189" fontId="75" fillId="0" borderId="0" applyFill="0" applyBorder="0" applyAlignment="0" applyProtection="0"/>
    <xf numFmtId="267" fontId="75" fillId="0" borderId="0" applyFill="0" applyBorder="0" applyAlignment="0" applyProtection="0"/>
    <xf numFmtId="328" fontId="142" fillId="0" borderId="0" applyFont="0" applyFill="0" applyBorder="0" applyAlignment="0" applyProtection="0"/>
    <xf numFmtId="10" fontId="133" fillId="2" borderId="29" applyNumberFormat="0" applyBorder="0" applyAlignment="0" applyProtection="0"/>
    <xf numFmtId="2" fontId="29" fillId="0" borderId="40" applyBorder="0"/>
    <xf numFmtId="179" fontId="63" fillId="0" borderId="0" applyFont="0" applyFill="0" applyBorder="0" applyAlignment="0" applyProtection="0"/>
    <xf numFmtId="0" fontId="63" fillId="0" borderId="0"/>
    <xf numFmtId="0" fontId="7" fillId="0" borderId="51">
      <alignment horizontal="centerContinuous"/>
    </xf>
    <xf numFmtId="0" fontId="115" fillId="0" borderId="0"/>
    <xf numFmtId="298" fontId="46" fillId="0" borderId="0" applyFill="0" applyBorder="0" applyAlignment="0"/>
    <xf numFmtId="294" fontId="46" fillId="0" borderId="0" applyFill="0" applyBorder="0" applyAlignment="0"/>
    <xf numFmtId="298" fontId="46" fillId="0" borderId="0" applyFill="0" applyBorder="0" applyAlignment="0"/>
    <xf numFmtId="299" fontId="46" fillId="0" borderId="0" applyFill="0" applyBorder="0" applyAlignment="0"/>
    <xf numFmtId="294" fontId="46" fillId="0" borderId="0" applyFill="0" applyBorder="0" applyAlignment="0"/>
    <xf numFmtId="300" fontId="133" fillId="0" borderId="38" applyFont="0"/>
    <xf numFmtId="3" fontId="46" fillId="0" borderId="52"/>
    <xf numFmtId="329" fontId="46" fillId="0" borderId="0" applyFont="0" applyFill="0" applyBorder="0" applyAlignment="0" applyProtection="0"/>
    <xf numFmtId="40" fontId="115" fillId="0" borderId="0" applyFont="0" applyFill="0" applyBorder="0" applyAlignment="0" applyProtection="0"/>
    <xf numFmtId="179" fontId="46" fillId="0" borderId="0" applyFont="0" applyFill="0" applyBorder="0" applyAlignment="0" applyProtection="0"/>
    <xf numFmtId="180" fontId="46" fillId="0" borderId="0" applyFont="0" applyFill="0" applyBorder="0" applyAlignment="0" applyProtection="0"/>
    <xf numFmtId="0" fontId="143" fillId="0" borderId="9"/>
    <xf numFmtId="0" fontId="144" fillId="0" borderId="50"/>
    <xf numFmtId="330" fontId="145" fillId="0" borderId="23"/>
    <xf numFmtId="331" fontId="115" fillId="0" borderId="0" applyFont="0" applyFill="0" applyBorder="0" applyAlignment="0" applyProtection="0"/>
    <xf numFmtId="332" fontId="115" fillId="0" borderId="0" applyFont="0" applyFill="0" applyBorder="0" applyAlignment="0" applyProtection="0"/>
    <xf numFmtId="333" fontId="46" fillId="0" borderId="0" applyFont="0" applyFill="0" applyBorder="0" applyAlignment="0" applyProtection="0"/>
    <xf numFmtId="334" fontId="46" fillId="0" borderId="0" applyFont="0" applyFill="0" applyBorder="0" applyAlignment="0" applyProtection="0"/>
    <xf numFmtId="0" fontId="146" fillId="0" borderId="0" applyNumberFormat="0" applyFont="0" applyFill="0" applyAlignment="0"/>
    <xf numFmtId="0" fontId="75" fillId="0" borderId="0" applyNumberFormat="0" applyFill="0" applyAlignment="0"/>
    <xf numFmtId="4" fontId="147" fillId="0" borderId="0" applyBorder="0"/>
    <xf numFmtId="0" fontId="146" fillId="0" borderId="0" applyNumberFormat="0" applyFont="0" applyFill="0" applyAlignment="0"/>
    <xf numFmtId="0" fontId="146" fillId="0" borderId="0" applyNumberFormat="0" applyFont="0" applyFill="0" applyAlignment="0"/>
    <xf numFmtId="4" fontId="147" fillId="0" borderId="9" applyBorder="0"/>
    <xf numFmtId="4" fontId="147" fillId="0" borderId="9" applyBorder="0"/>
    <xf numFmtId="4" fontId="147" fillId="0" borderId="9" applyBorder="0"/>
    <xf numFmtId="0" fontId="146" fillId="0" borderId="0" applyNumberFormat="0" applyFont="0" applyFill="0" applyAlignment="0"/>
    <xf numFmtId="0" fontId="112" fillId="0" borderId="0">
      <alignment horizontal="justify" vertical="top"/>
    </xf>
    <xf numFmtId="0" fontId="64" fillId="0" borderId="29"/>
    <xf numFmtId="0" fontId="9" fillId="0" borderId="0"/>
    <xf numFmtId="0" fontId="66" fillId="0" borderId="9" applyNumberFormat="0" applyAlignment="0">
      <alignment horizontal="center"/>
    </xf>
    <xf numFmtId="37" fontId="148" fillId="0" borderId="0"/>
    <xf numFmtId="0" fontId="149" fillId="0" borderId="29" applyNumberFormat="0" applyFont="0" applyFill="0" applyBorder="0" applyAlignment="0">
      <alignment horizontal="center"/>
    </xf>
    <xf numFmtId="0" fontId="60" fillId="0" borderId="0"/>
    <xf numFmtId="0" fontId="75" fillId="0" borderId="0"/>
    <xf numFmtId="0" fontId="75" fillId="0" borderId="0"/>
    <xf numFmtId="0" fontId="150" fillId="0" borderId="0"/>
    <xf numFmtId="0" fontId="71" fillId="0" borderId="0"/>
    <xf numFmtId="0" fontId="75" fillId="0" borderId="0"/>
    <xf numFmtId="0" fontId="151" fillId="0" borderId="0"/>
    <xf numFmtId="0" fontId="151" fillId="0" borderId="0"/>
    <xf numFmtId="0" fontId="75" fillId="0" borderId="0"/>
    <xf numFmtId="0" fontId="6" fillId="0" borderId="0"/>
    <xf numFmtId="0" fontId="75" fillId="0" borderId="0"/>
    <xf numFmtId="0" fontId="75" fillId="0" borderId="0"/>
    <xf numFmtId="0" fontId="75" fillId="0" borderId="0"/>
    <xf numFmtId="0" fontId="6" fillId="0" borderId="0"/>
    <xf numFmtId="0" fontId="6" fillId="0" borderId="0"/>
    <xf numFmtId="0" fontId="75" fillId="0" borderId="0"/>
    <xf numFmtId="0" fontId="75" fillId="0" borderId="0"/>
    <xf numFmtId="0" fontId="75" fillId="0" borderId="0"/>
    <xf numFmtId="0" fontId="75" fillId="0" borderId="0"/>
    <xf numFmtId="0" fontId="75" fillId="0" borderId="0"/>
    <xf numFmtId="0" fontId="75" fillId="0" borderId="0"/>
    <xf numFmtId="0" fontId="6" fillId="0" borderId="0"/>
    <xf numFmtId="0" fontId="6" fillId="0" borderId="0"/>
    <xf numFmtId="0" fontId="75" fillId="0" borderId="0"/>
    <xf numFmtId="0" fontId="75" fillId="0" borderId="0"/>
    <xf numFmtId="0" fontId="75" fillId="0" borderId="0"/>
    <xf numFmtId="0" fontId="75" fillId="0" borderId="0"/>
    <xf numFmtId="0" fontId="29"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 fillId="0" borderId="0"/>
    <xf numFmtId="0" fontId="75" fillId="0" borderId="0"/>
    <xf numFmtId="0" fontId="75" fillId="0" borderId="0"/>
    <xf numFmtId="0" fontId="75" fillId="0" borderId="0"/>
    <xf numFmtId="0" fontId="75" fillId="0" borderId="0"/>
    <xf numFmtId="0" fontId="75" fillId="0" borderId="0"/>
    <xf numFmtId="0" fontId="75" fillId="0" borderId="0"/>
    <xf numFmtId="0" fontId="53" fillId="0" borderId="0"/>
    <xf numFmtId="0" fontId="6" fillId="0" borderId="0"/>
    <xf numFmtId="0" fontId="75" fillId="0" borderId="0"/>
    <xf numFmtId="0" fontId="75" fillId="0" borderId="0"/>
    <xf numFmtId="0" fontId="75" fillId="0" borderId="0"/>
    <xf numFmtId="0" fontId="75" fillId="0" borderId="0"/>
    <xf numFmtId="0" fontId="75" fillId="0" borderId="0"/>
    <xf numFmtId="0" fontId="46" fillId="0" borderId="0"/>
    <xf numFmtId="0" fontId="44" fillId="0" borderId="0"/>
    <xf numFmtId="0" fontId="63" fillId="0" borderId="0"/>
    <xf numFmtId="4" fontId="29" fillId="0" borderId="44">
      <alignment horizontal="left"/>
    </xf>
    <xf numFmtId="0" fontId="118" fillId="0" borderId="0"/>
    <xf numFmtId="335" fontId="152" fillId="0" borderId="0" applyFont="0" applyFill="0" applyBorder="0" applyProtection="0">
      <alignment vertical="top" wrapText="1"/>
    </xf>
    <xf numFmtId="180" fontId="81" fillId="0" borderId="0" applyFont="0" applyFill="0" applyBorder="0" applyAlignment="0" applyProtection="0"/>
    <xf numFmtId="179" fontId="81" fillId="0" borderId="0" applyFont="0" applyFill="0" applyBorder="0" applyAlignment="0" applyProtection="0"/>
    <xf numFmtId="0" fontId="64" fillId="0" borderId="0" applyNumberFormat="0" applyFill="0" applyBorder="0" applyAlignment="0" applyProtection="0"/>
    <xf numFmtId="0" fontId="63" fillId="0" borderId="0" applyNumberFormat="0" applyFill="0" applyBorder="0" applyAlignment="0" applyProtection="0"/>
    <xf numFmtId="0" fontId="46" fillId="0" borderId="0" applyFont="0" applyFill="0" applyBorder="0" applyAlignment="0" applyProtection="0"/>
    <xf numFmtId="0" fontId="9" fillId="0" borderId="0"/>
    <xf numFmtId="278" fontId="46" fillId="0" borderId="0" applyFont="0" applyFill="0" applyBorder="0" applyAlignment="0" applyProtection="0"/>
    <xf numFmtId="14" fontId="7" fillId="0" borderId="0">
      <alignment horizontal="center" wrapText="1"/>
      <protection locked="0"/>
    </xf>
    <xf numFmtId="297" fontId="46" fillId="0" borderId="0" applyFont="0" applyFill="0" applyBorder="0" applyAlignment="0" applyProtection="0"/>
    <xf numFmtId="336" fontId="46" fillId="0" borderId="0" applyFont="0" applyFill="0" applyBorder="0" applyAlignment="0" applyProtection="0"/>
    <xf numFmtId="10" fontId="46" fillId="0" borderId="0" applyFont="0" applyFill="0" applyBorder="0" applyAlignment="0" applyProtection="0"/>
    <xf numFmtId="9" fontId="29" fillId="0" borderId="0" applyFont="0" applyFill="0" applyBorder="0" applyAlignment="0" applyProtection="0"/>
    <xf numFmtId="9" fontId="6" fillId="0" borderId="0" applyFont="0" applyFill="0" applyBorder="0" applyAlignment="0" applyProtection="0"/>
    <xf numFmtId="9" fontId="115" fillId="0" borderId="53" applyNumberFormat="0" applyBorder="0"/>
    <xf numFmtId="0" fontId="153" fillId="0" borderId="54" applyFill="0" applyBorder="0" applyAlignment="0" applyProtection="0">
      <alignment horizontal="right"/>
    </xf>
    <xf numFmtId="0" fontId="154" fillId="0" borderId="0"/>
    <xf numFmtId="298" fontId="46" fillId="0" borderId="0" applyFill="0" applyBorder="0" applyAlignment="0"/>
    <xf numFmtId="294" fontId="46" fillId="0" borderId="0" applyFill="0" applyBorder="0" applyAlignment="0"/>
    <xf numFmtId="298" fontId="46" fillId="0" borderId="0" applyFill="0" applyBorder="0" applyAlignment="0"/>
    <xf numFmtId="299" fontId="46" fillId="0" borderId="0" applyFill="0" applyBorder="0" applyAlignment="0"/>
    <xf numFmtId="294" fontId="46" fillId="0" borderId="0" applyFill="0" applyBorder="0" applyAlignment="0"/>
    <xf numFmtId="337" fontId="104" fillId="0" borderId="0"/>
    <xf numFmtId="0" fontId="155" fillId="12" borderId="0" applyNumberFormat="0" applyFont="0" applyBorder="0" applyAlignment="0">
      <alignment horizontal="center"/>
    </xf>
    <xf numFmtId="14" fontId="156" fillId="0" borderId="0" applyNumberFormat="0" applyFill="0" applyBorder="0" applyAlignment="0" applyProtection="0">
      <alignment horizontal="left"/>
    </xf>
    <xf numFmtId="283" fontId="24" fillId="0" borderId="0" applyFont="0" applyFill="0" applyBorder="0" applyAlignment="0" applyProtection="0"/>
    <xf numFmtId="0" fontId="75" fillId="0" borderId="0"/>
    <xf numFmtId="0" fontId="63" fillId="0" borderId="0" applyNumberFormat="0" applyFill="0" applyBorder="0" applyAlignment="0" applyProtection="0"/>
    <xf numFmtId="0" fontId="75" fillId="0" borderId="0"/>
    <xf numFmtId="3" fontId="24" fillId="0" borderId="19">
      <alignment horizontal="right" wrapText="1"/>
    </xf>
    <xf numFmtId="4" fontId="157" fillId="5" borderId="55" applyNumberFormat="0" applyProtection="0">
      <alignment vertical="center"/>
    </xf>
    <xf numFmtId="4" fontId="158" fillId="5" borderId="55" applyNumberFormat="0" applyProtection="0">
      <alignment vertical="center"/>
    </xf>
    <xf numFmtId="4" fontId="159" fillId="5" borderId="55" applyNumberFormat="0" applyProtection="0">
      <alignment horizontal="left" vertical="center" indent="1"/>
    </xf>
    <xf numFmtId="4" fontId="159" fillId="13" borderId="0" applyNumberFormat="0" applyProtection="0">
      <alignment horizontal="left" vertical="center" indent="1"/>
    </xf>
    <xf numFmtId="4" fontId="159" fillId="14" borderId="55" applyNumberFormat="0" applyProtection="0">
      <alignment horizontal="right" vertical="center"/>
    </xf>
    <xf numFmtId="4" fontId="159" fillId="15" borderId="55" applyNumberFormat="0" applyProtection="0">
      <alignment horizontal="right" vertical="center"/>
    </xf>
    <xf numFmtId="4" fontId="159" fillId="16" borderId="55" applyNumberFormat="0" applyProtection="0">
      <alignment horizontal="right" vertical="center"/>
    </xf>
    <xf numFmtId="4" fontId="159" fillId="17" borderId="55" applyNumberFormat="0" applyProtection="0">
      <alignment horizontal="right" vertical="center"/>
    </xf>
    <xf numFmtId="4" fontId="159" fillId="18" borderId="55" applyNumberFormat="0" applyProtection="0">
      <alignment horizontal="right" vertical="center"/>
    </xf>
    <xf numFmtId="4" fontId="159" fillId="19" borderId="55" applyNumberFormat="0" applyProtection="0">
      <alignment horizontal="right" vertical="center"/>
    </xf>
    <xf numFmtId="4" fontId="159" fillId="20" borderId="55" applyNumberFormat="0" applyProtection="0">
      <alignment horizontal="right" vertical="center"/>
    </xf>
    <xf numFmtId="4" fontId="159" fillId="21" borderId="55" applyNumberFormat="0" applyProtection="0">
      <alignment horizontal="right" vertical="center"/>
    </xf>
    <xf numFmtId="4" fontId="159" fillId="22" borderId="55" applyNumberFormat="0" applyProtection="0">
      <alignment horizontal="right" vertical="center"/>
    </xf>
    <xf numFmtId="4" fontId="157" fillId="23" borderId="56" applyNumberFormat="0" applyProtection="0">
      <alignment horizontal="left" vertical="center" indent="1"/>
    </xf>
    <xf numFmtId="4" fontId="157" fillId="24" borderId="0" applyNumberFormat="0" applyProtection="0">
      <alignment horizontal="left" vertical="center" indent="1"/>
    </xf>
    <xf numFmtId="4" fontId="157" fillId="13" borderId="0" applyNumberFormat="0" applyProtection="0">
      <alignment horizontal="left" vertical="center" indent="1"/>
    </xf>
    <xf numFmtId="4" fontId="159" fillId="24" borderId="55" applyNumberFormat="0" applyProtection="0">
      <alignment horizontal="right" vertical="center"/>
    </xf>
    <xf numFmtId="4" fontId="114" fillId="24" borderId="0" applyNumberFormat="0" applyProtection="0">
      <alignment horizontal="left" vertical="center" indent="1"/>
    </xf>
    <xf numFmtId="4" fontId="114" fillId="13" borderId="0" applyNumberFormat="0" applyProtection="0">
      <alignment horizontal="left" vertical="center" indent="1"/>
    </xf>
    <xf numFmtId="4" fontId="159" fillId="25" borderId="55" applyNumberFormat="0" applyProtection="0">
      <alignment vertical="center"/>
    </xf>
    <xf numFmtId="4" fontId="160" fillId="25" borderId="55" applyNumberFormat="0" applyProtection="0">
      <alignment vertical="center"/>
    </xf>
    <xf numFmtId="4" fontId="157" fillId="24" borderId="57" applyNumberFormat="0" applyProtection="0">
      <alignment horizontal="left" vertical="center" indent="1"/>
    </xf>
    <xf numFmtId="4" fontId="159" fillId="25" borderId="55" applyNumberFormat="0" applyProtection="0">
      <alignment horizontal="right" vertical="center"/>
    </xf>
    <xf numFmtId="4" fontId="160" fillId="25" borderId="55" applyNumberFormat="0" applyProtection="0">
      <alignment horizontal="right" vertical="center"/>
    </xf>
    <xf numFmtId="4" fontId="157" fillId="24" borderId="55" applyNumberFormat="0" applyProtection="0">
      <alignment horizontal="left" vertical="center" indent="1"/>
    </xf>
    <xf numFmtId="4" fontId="161" fillId="11" borderId="57" applyNumberFormat="0" applyProtection="0">
      <alignment horizontal="left" vertical="center" indent="1"/>
    </xf>
    <xf numFmtId="4" fontId="162" fillId="25" borderId="55" applyNumberFormat="0" applyProtection="0">
      <alignment horizontal="right" vertical="center"/>
    </xf>
    <xf numFmtId="0" fontId="155" fillId="1" borderId="39" applyNumberFormat="0" applyFont="0" applyAlignment="0">
      <alignment horizontal="center"/>
    </xf>
    <xf numFmtId="0" fontId="163" fillId="0" borderId="0" applyNumberFormat="0" applyFill="0" applyBorder="0" applyAlignment="0" applyProtection="0">
      <alignment vertical="top"/>
      <protection locked="0"/>
    </xf>
    <xf numFmtId="173" fontId="46" fillId="0" borderId="0"/>
    <xf numFmtId="3" fontId="44" fillId="0" borderId="0"/>
    <xf numFmtId="0" fontId="164" fillId="0" borderId="0" applyNumberFormat="0" applyFill="0" applyBorder="0" applyAlignment="0">
      <alignment horizontal="center"/>
    </xf>
    <xf numFmtId="2" fontId="165" fillId="0" borderId="0"/>
    <xf numFmtId="2" fontId="165" fillId="0" borderId="0" applyNumberFormat="0" applyFont="0"/>
    <xf numFmtId="0" fontId="166" fillId="0" borderId="9">
      <alignment horizontal="center"/>
    </xf>
    <xf numFmtId="166" fontId="167" fillId="0" borderId="0" applyNumberFormat="0" applyBorder="0" applyAlignment="0">
      <alignment horizontal="centerContinuous"/>
    </xf>
    <xf numFmtId="265" fontId="24" fillId="0" borderId="0" applyFont="0" applyFill="0" applyBorder="0" applyAlignment="0" applyProtection="0"/>
    <xf numFmtId="197" fontId="24" fillId="0" borderId="0" applyFont="0" applyFill="0" applyBorder="0" applyAlignment="0" applyProtection="0"/>
    <xf numFmtId="271" fontId="24" fillId="0" borderId="0" applyFont="0" applyFill="0" applyBorder="0" applyAlignment="0" applyProtection="0"/>
    <xf numFmtId="277"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198" fontId="24" fillId="0" borderId="0" applyFont="0" applyFill="0" applyBorder="0" applyAlignment="0" applyProtection="0"/>
    <xf numFmtId="271" fontId="2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44" fillId="0" borderId="0" applyFont="0" applyFill="0" applyBorder="0" applyAlignment="0" applyProtection="0"/>
    <xf numFmtId="271"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272" fontId="24" fillId="0" borderId="0" applyFont="0" applyFill="0" applyBorder="0" applyAlignment="0" applyProtection="0"/>
    <xf numFmtId="198" fontId="24" fillId="0" borderId="0" applyFont="0" applyFill="0" applyBorder="0" applyAlignment="0" applyProtection="0"/>
    <xf numFmtId="277" fontId="24" fillId="0" borderId="0" applyFont="0" applyFill="0" applyBorder="0" applyAlignment="0" applyProtection="0"/>
    <xf numFmtId="179" fontId="24" fillId="0" borderId="0" applyFont="0" applyFill="0" applyBorder="0" applyAlignment="0" applyProtection="0"/>
    <xf numFmtId="197" fontId="24" fillId="0" borderId="0" applyFont="0" applyFill="0" applyBorder="0" applyAlignment="0" applyProtection="0"/>
    <xf numFmtId="41" fontId="24" fillId="0" borderId="0" applyFont="0" applyFill="0" applyBorder="0" applyAlignment="0" applyProtection="0"/>
    <xf numFmtId="275"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282"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198" fontId="24" fillId="0" borderId="0" applyFont="0" applyFill="0" applyBorder="0" applyAlignment="0" applyProtection="0"/>
    <xf numFmtId="179"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71"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179" fontId="24" fillId="0" borderId="0" applyFont="0" applyFill="0" applyBorder="0" applyAlignment="0" applyProtection="0"/>
    <xf numFmtId="266" fontId="24" fillId="0" borderId="0" applyFont="0" applyFill="0" applyBorder="0" applyAlignment="0" applyProtection="0"/>
    <xf numFmtId="41"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4" fontId="24" fillId="0" borderId="0" applyFont="0" applyFill="0" applyBorder="0" applyAlignment="0" applyProtection="0"/>
    <xf numFmtId="205" fontId="24" fillId="0" borderId="0" applyFont="0" applyFill="0" applyBorder="0" applyAlignment="0" applyProtection="0"/>
    <xf numFmtId="42" fontId="24" fillId="0" borderId="0" applyFont="0" applyFill="0" applyBorder="0" applyAlignment="0" applyProtection="0"/>
    <xf numFmtId="206" fontId="46" fillId="0" borderId="0" applyFont="0" applyFill="0" applyBorder="0" applyAlignment="0" applyProtection="0"/>
    <xf numFmtId="205" fontId="24" fillId="0" borderId="0" applyFont="0" applyFill="0" applyBorder="0" applyAlignment="0" applyProtection="0"/>
    <xf numFmtId="207" fontId="24" fillId="0" borderId="0" applyFont="0" applyFill="0" applyBorder="0" applyAlignment="0" applyProtection="0"/>
    <xf numFmtId="208" fontId="24" fillId="0" borderId="0" applyFont="0" applyFill="0" applyBorder="0" applyAlignment="0" applyProtection="0"/>
    <xf numFmtId="266" fontId="24" fillId="0" borderId="0" applyFont="0" applyFill="0" applyBorder="0" applyAlignment="0" applyProtection="0"/>
    <xf numFmtId="4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98" fontId="24" fillId="0" borderId="0" applyFont="0" applyFill="0" applyBorder="0" applyAlignment="0" applyProtection="0"/>
    <xf numFmtId="181"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66"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198"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64" fontId="24" fillId="0" borderId="0" applyFont="0" applyFill="0" applyBorder="0" applyAlignment="0" applyProtection="0"/>
    <xf numFmtId="283" fontId="24" fillId="0" borderId="0" applyFont="0" applyFill="0" applyBorder="0" applyAlignment="0" applyProtection="0"/>
    <xf numFmtId="204"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05"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64"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65"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66"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15"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208" fontId="24" fillId="0" borderId="0" applyFont="0" applyFill="0" applyBorder="0" applyAlignment="0" applyProtection="0"/>
    <xf numFmtId="19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181" fontId="24" fillId="0" borderId="0" applyFont="0" applyFill="0" applyBorder="0" applyAlignment="0" applyProtection="0"/>
    <xf numFmtId="266" fontId="24" fillId="0" borderId="0" applyFont="0" applyFill="0" applyBorder="0" applyAlignment="0" applyProtection="0"/>
    <xf numFmtId="42"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181" fontId="24" fillId="0" borderId="0" applyFont="0" applyFill="0" applyBorder="0" applyAlignment="0" applyProtection="0"/>
    <xf numFmtId="204" fontId="24" fillId="0" borderId="0" applyFont="0" applyFill="0" applyBorder="0" applyAlignment="0" applyProtection="0"/>
    <xf numFmtId="264" fontId="24" fillId="0" borderId="0" applyFont="0" applyFill="0" applyBorder="0" applyAlignment="0" applyProtection="0"/>
    <xf numFmtId="268" fontId="24" fillId="0" borderId="0" applyFont="0" applyFill="0" applyBorder="0" applyAlignment="0" applyProtection="0"/>
    <xf numFmtId="266" fontId="24" fillId="0" borderId="0" applyFont="0" applyFill="0" applyBorder="0" applyAlignment="0" applyProtection="0"/>
    <xf numFmtId="265" fontId="24" fillId="0" borderId="0" applyFont="0" applyFill="0" applyBorder="0" applyAlignment="0" applyProtection="0"/>
    <xf numFmtId="265" fontId="24" fillId="0" borderId="0" applyFont="0" applyFill="0" applyBorder="0" applyAlignment="0" applyProtection="0"/>
    <xf numFmtId="198" fontId="44" fillId="0" borderId="0" applyFont="0" applyFill="0" applyBorder="0" applyAlignment="0" applyProtection="0"/>
    <xf numFmtId="275" fontId="24" fillId="0" borderId="0" applyFont="0" applyFill="0" applyBorder="0" applyAlignment="0" applyProtection="0"/>
    <xf numFmtId="198" fontId="24" fillId="0" borderId="0" applyFont="0" applyFill="0" applyBorder="0" applyAlignment="0" applyProtection="0"/>
    <xf numFmtId="198" fontId="24" fillId="0" borderId="0" applyFont="0" applyFill="0" applyBorder="0" applyAlignment="0" applyProtection="0"/>
    <xf numFmtId="266" fontId="24" fillId="0" borderId="0" applyFont="0" applyFill="0" applyBorder="0" applyAlignment="0" applyProtection="0"/>
    <xf numFmtId="266" fontId="24" fillId="0" borderId="0" applyFont="0" applyFill="0" applyBorder="0" applyAlignment="0" applyProtection="0"/>
    <xf numFmtId="198" fontId="24" fillId="0" borderId="0" applyFont="0" applyFill="0" applyBorder="0" applyAlignment="0" applyProtection="0"/>
    <xf numFmtId="266" fontId="24" fillId="0" borderId="0" applyFont="0" applyFill="0" applyBorder="0" applyAlignment="0" applyProtection="0"/>
    <xf numFmtId="198" fontId="24" fillId="0" borderId="0" applyFont="0" applyFill="0" applyBorder="0" applyAlignment="0" applyProtection="0"/>
    <xf numFmtId="283" fontId="24" fillId="0" borderId="0" applyFont="0" applyFill="0" applyBorder="0" applyAlignment="0" applyProtection="0"/>
    <xf numFmtId="266" fontId="24" fillId="0" borderId="0" applyFont="0" applyFill="0" applyBorder="0" applyAlignment="0" applyProtection="0"/>
    <xf numFmtId="200" fontId="24" fillId="0" borderId="0" applyFont="0" applyFill="0" applyBorder="0" applyAlignment="0" applyProtection="0"/>
    <xf numFmtId="200" fontId="24" fillId="0" borderId="0" applyFont="0" applyFill="0" applyBorder="0" applyAlignment="0" applyProtection="0"/>
    <xf numFmtId="201" fontId="44" fillId="0" borderId="0" applyFont="0" applyFill="0" applyBorder="0" applyAlignment="0" applyProtection="0"/>
    <xf numFmtId="210" fontId="24" fillId="0" borderId="0" applyFont="0" applyFill="0" applyBorder="0" applyAlignment="0" applyProtection="0"/>
    <xf numFmtId="200" fontId="24" fillId="0" borderId="0" applyFont="0" applyFill="0" applyBorder="0" applyAlignment="0" applyProtection="0"/>
    <xf numFmtId="201" fontId="24" fillId="0" borderId="0" applyFont="0" applyFill="0" applyBorder="0" applyAlignment="0" applyProtection="0"/>
    <xf numFmtId="255" fontId="24" fillId="0" borderId="0" applyFont="0" applyFill="0" applyBorder="0" applyAlignment="0" applyProtection="0"/>
    <xf numFmtId="201" fontId="24" fillId="0" borderId="0" applyFont="0" applyFill="0" applyBorder="0" applyAlignment="0" applyProtection="0"/>
    <xf numFmtId="260" fontId="24" fillId="0" borderId="0" applyFont="0" applyFill="0" applyBorder="0" applyAlignment="0" applyProtection="0"/>
    <xf numFmtId="212" fontId="24" fillId="0" borderId="0" applyFont="0" applyFill="0" applyBorder="0" applyAlignment="0" applyProtection="0"/>
    <xf numFmtId="198"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66"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12"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3" fontId="24" fillId="0" borderId="0" applyFont="0" applyFill="0" applyBorder="0" applyAlignment="0" applyProtection="0"/>
    <xf numFmtId="212" fontId="24" fillId="0" borderId="0" applyFont="0" applyFill="0" applyBorder="0" applyAlignment="0" applyProtection="0"/>
    <xf numFmtId="264"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6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66"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208" fontId="24" fillId="0" borderId="0" applyFont="0" applyFill="0" applyBorder="0" applyAlignment="0" applyProtection="0"/>
    <xf numFmtId="42" fontId="24" fillId="0" borderId="0" applyFont="0" applyFill="0" applyBorder="0" applyAlignment="0" applyProtection="0"/>
    <xf numFmtId="273" fontId="24" fillId="0" borderId="0" applyFont="0" applyFill="0" applyBorder="0" applyAlignment="0" applyProtection="0"/>
    <xf numFmtId="14" fontId="104" fillId="0" borderId="0"/>
    <xf numFmtId="0" fontId="168" fillId="0" borderId="0"/>
    <xf numFmtId="0" fontId="144" fillId="0" borderId="0"/>
    <xf numFmtId="40" fontId="169" fillId="0" borderId="0" applyBorder="0">
      <alignment horizontal="right"/>
    </xf>
    <xf numFmtId="0" fontId="153" fillId="0" borderId="0"/>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339" fontId="46" fillId="0" borderId="40">
      <alignment horizontal="right" vertical="center"/>
    </xf>
    <xf numFmtId="338" fontId="64" fillId="0" borderId="40">
      <alignment horizontal="right" vertical="center"/>
    </xf>
    <xf numFmtId="340" fontId="46" fillId="0" borderId="40">
      <alignment horizontal="right" vertical="center"/>
    </xf>
    <xf numFmtId="340" fontId="46" fillId="0" borderId="40">
      <alignment horizontal="right" vertical="center"/>
    </xf>
    <xf numFmtId="340" fontId="46"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41" fontId="63" fillId="0" borderId="40">
      <alignment horizontal="right" vertical="center"/>
    </xf>
    <xf numFmtId="342"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0" fontId="75" fillId="0" borderId="0"/>
    <xf numFmtId="0" fontId="75" fillId="0" borderId="0"/>
    <xf numFmtId="0" fontId="75" fillId="0" borderId="0"/>
    <xf numFmtId="0" fontId="75" fillId="0" borderId="0"/>
    <xf numFmtId="343" fontId="66" fillId="0" borderId="40">
      <alignment horizontal="right" vertical="center"/>
    </xf>
    <xf numFmtId="0" fontId="75" fillId="0" borderId="0"/>
    <xf numFmtId="342"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344" fontId="46" fillId="0" borderId="40">
      <alignment horizontal="right" vertical="center"/>
    </xf>
    <xf numFmtId="339" fontId="46" fillId="0" borderId="40">
      <alignment horizontal="right" vertical="center"/>
    </xf>
    <xf numFmtId="0" fontId="75" fillId="0" borderId="0"/>
    <xf numFmtId="0" fontId="75" fillId="0" borderId="0"/>
    <xf numFmtId="0" fontId="75" fillId="0" borderId="0"/>
    <xf numFmtId="0" fontId="75" fillId="0" borderId="0"/>
    <xf numFmtId="343" fontId="66" fillId="0" borderId="40">
      <alignment horizontal="right" vertical="center"/>
    </xf>
    <xf numFmtId="343" fontId="66" fillId="0" borderId="40">
      <alignment horizontal="right" vertical="center"/>
    </xf>
    <xf numFmtId="342"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42" fontId="46" fillId="0" borderId="40">
      <alignment horizontal="right" vertical="center"/>
    </xf>
    <xf numFmtId="342" fontId="46" fillId="0" borderId="40">
      <alignment horizontal="right" vertical="center"/>
    </xf>
    <xf numFmtId="345" fontId="170" fillId="0" borderId="40">
      <alignment horizontal="right" vertical="center"/>
    </xf>
    <xf numFmtId="345" fontId="170" fillId="0" borderId="40">
      <alignment horizontal="right" vertical="center"/>
    </xf>
    <xf numFmtId="341" fontId="63" fillId="0" borderId="40">
      <alignment horizontal="right" vertical="center"/>
    </xf>
    <xf numFmtId="0" fontId="75" fillId="0" borderId="0"/>
    <xf numFmtId="0" fontId="75" fillId="0" borderId="0"/>
    <xf numFmtId="0" fontId="75" fillId="0" borderId="0"/>
    <xf numFmtId="346" fontId="46" fillId="0" borderId="40">
      <alignment horizontal="right" vertical="center"/>
    </xf>
    <xf numFmtId="342"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42" fontId="46" fillId="0" borderId="40">
      <alignment horizontal="right" vertical="center"/>
    </xf>
    <xf numFmtId="342" fontId="46" fillId="0" borderId="40">
      <alignment horizontal="right" vertical="center"/>
    </xf>
    <xf numFmtId="345" fontId="170" fillId="0" borderId="40">
      <alignment horizontal="right" vertical="center"/>
    </xf>
    <xf numFmtId="345" fontId="170"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0" fontId="75" fillId="0" borderId="0"/>
    <xf numFmtId="0" fontId="75" fillId="0" borderId="0"/>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5" fontId="170"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0" fontId="75" fillId="0" borderId="0"/>
    <xf numFmtId="0" fontId="75" fillId="0" borderId="0"/>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42" fontId="46" fillId="0" borderId="40">
      <alignment horizontal="right" vertical="center"/>
    </xf>
    <xf numFmtId="338" fontId="64" fillId="0" borderId="40">
      <alignment horizontal="right" vertical="center"/>
    </xf>
    <xf numFmtId="0" fontId="46" fillId="0" borderId="40">
      <alignment horizontal="right" vertical="center"/>
    </xf>
    <xf numFmtId="342" fontId="46" fillId="0" borderId="40">
      <alignment horizontal="right" vertical="center"/>
    </xf>
    <xf numFmtId="342" fontId="46" fillId="0" borderId="40">
      <alignment horizontal="right" vertical="center"/>
    </xf>
    <xf numFmtId="342" fontId="46" fillId="0" borderId="40">
      <alignment horizontal="right" vertical="center"/>
    </xf>
    <xf numFmtId="341" fontId="63" fillId="0" borderId="40">
      <alignment horizontal="right" vertical="center"/>
    </xf>
    <xf numFmtId="0" fontId="75" fillId="0" borderId="0"/>
    <xf numFmtId="0" fontId="75" fillId="0" borderId="0"/>
    <xf numFmtId="338" fontId="64" fillId="0" borderId="40">
      <alignment horizontal="right" vertical="center"/>
    </xf>
    <xf numFmtId="0" fontId="75" fillId="0" borderId="0"/>
    <xf numFmtId="338" fontId="64" fillId="0" borderId="40">
      <alignment horizontal="right" vertical="center"/>
    </xf>
    <xf numFmtId="0" fontId="75" fillId="0" borderId="0"/>
    <xf numFmtId="338" fontId="64"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42" fontId="46" fillId="0" borderId="40">
      <alignment horizontal="right" vertical="center"/>
    </xf>
    <xf numFmtId="0" fontId="75" fillId="0" borderId="0"/>
    <xf numFmtId="0" fontId="75" fillId="0" borderId="0"/>
    <xf numFmtId="347" fontId="64" fillId="0" borderId="40">
      <alignment horizontal="right" vertical="center"/>
    </xf>
    <xf numFmtId="338" fontId="64" fillId="0" borderId="40">
      <alignment horizontal="right" vertical="center"/>
    </xf>
    <xf numFmtId="342" fontId="46" fillId="0" borderId="40">
      <alignment horizontal="right" vertical="center"/>
    </xf>
    <xf numFmtId="338" fontId="64" fillId="0" borderId="40">
      <alignment horizontal="right" vertical="center"/>
    </xf>
    <xf numFmtId="0" fontId="75" fillId="0" borderId="0"/>
    <xf numFmtId="0" fontId="75" fillId="0" borderId="0"/>
    <xf numFmtId="338" fontId="64" fillId="0" borderId="40">
      <alignment horizontal="right" vertical="center"/>
    </xf>
    <xf numFmtId="0" fontId="75" fillId="0" borderId="0"/>
    <xf numFmtId="0" fontId="75" fillId="0" borderId="0"/>
    <xf numFmtId="342"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8" fontId="64" fillId="0" borderId="40">
      <alignment horizontal="right" vertical="center"/>
    </xf>
    <xf numFmtId="348" fontId="63" fillId="0" borderId="40">
      <alignment horizontal="right" vertical="center"/>
    </xf>
    <xf numFmtId="341" fontId="63" fillId="0" borderId="40">
      <alignment horizontal="right" vertical="center"/>
    </xf>
    <xf numFmtId="341" fontId="63" fillId="0" borderId="40">
      <alignment horizontal="right" vertical="center"/>
    </xf>
    <xf numFmtId="340" fontId="46" fillId="0" borderId="40">
      <alignment horizontal="right" vertical="center"/>
    </xf>
    <xf numFmtId="340" fontId="46" fillId="0" borderId="40">
      <alignment horizontal="right" vertical="center"/>
    </xf>
    <xf numFmtId="340" fontId="46" fillId="0" borderId="40">
      <alignment horizontal="right" vertical="center"/>
    </xf>
    <xf numFmtId="338" fontId="64" fillId="0" borderId="40">
      <alignment horizontal="right" vertical="center"/>
    </xf>
    <xf numFmtId="340" fontId="46" fillId="0" borderId="40">
      <alignment horizontal="right" vertical="center"/>
    </xf>
    <xf numFmtId="339" fontId="46"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338" fontId="64" fillId="0" borderId="40">
      <alignment horizontal="right" vertical="center"/>
    </xf>
    <xf numFmtId="340" fontId="46" fillId="0" borderId="40">
      <alignment horizontal="right" vertical="center"/>
    </xf>
    <xf numFmtId="338" fontId="64" fillId="0" borderId="40">
      <alignment horizontal="right" vertical="center"/>
    </xf>
    <xf numFmtId="340" fontId="46" fillId="0" borderId="40">
      <alignment horizontal="right" vertical="center"/>
    </xf>
    <xf numFmtId="338" fontId="64" fillId="0" borderId="40">
      <alignment horizontal="right" vertical="center"/>
    </xf>
    <xf numFmtId="339" fontId="46" fillId="0" borderId="40">
      <alignment horizontal="right" vertical="center"/>
    </xf>
    <xf numFmtId="340" fontId="46" fillId="0" borderId="40">
      <alignment horizontal="right" vertical="center"/>
    </xf>
    <xf numFmtId="338" fontId="64" fillId="0" borderId="40">
      <alignment horizontal="right" vertical="center"/>
    </xf>
    <xf numFmtId="339"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38" fontId="64" fillId="0" borderId="40">
      <alignment horizontal="right" vertical="center"/>
    </xf>
    <xf numFmtId="340" fontId="46" fillId="0" borderId="40">
      <alignment horizontal="right" vertical="center"/>
    </xf>
    <xf numFmtId="340" fontId="46" fillId="0" borderId="40">
      <alignment horizontal="right" vertical="center"/>
    </xf>
    <xf numFmtId="340"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38" fontId="64"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0" fontId="75" fillId="0" borderId="0"/>
    <xf numFmtId="0" fontId="75" fillId="0" borderId="0"/>
    <xf numFmtId="340" fontId="46" fillId="0" borderId="40">
      <alignment horizontal="right" vertical="center"/>
    </xf>
    <xf numFmtId="340"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0" fontId="75" fillId="0" borderId="0"/>
    <xf numFmtId="0"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9" fontId="46" fillId="0" borderId="40">
      <alignment horizontal="right" vertical="center"/>
    </xf>
    <xf numFmtId="340" fontId="46" fillId="0" borderId="40">
      <alignment horizontal="right" vertical="center"/>
    </xf>
    <xf numFmtId="338" fontId="64" fillId="0" borderId="40">
      <alignment horizontal="right" vertical="center"/>
    </xf>
    <xf numFmtId="349" fontId="171" fillId="0" borderId="40">
      <alignment horizontal="right" vertical="center"/>
    </xf>
    <xf numFmtId="340" fontId="46" fillId="0" borderId="40">
      <alignment horizontal="right" vertical="center"/>
    </xf>
    <xf numFmtId="338" fontId="64" fillId="0" borderId="40">
      <alignment horizontal="right" vertical="center"/>
    </xf>
    <xf numFmtId="341" fontId="63" fillId="0" borderId="40">
      <alignment horizontal="right" vertical="center"/>
    </xf>
    <xf numFmtId="338" fontId="64" fillId="0" borderId="40">
      <alignment horizontal="right" vertical="center"/>
    </xf>
    <xf numFmtId="338" fontId="64" fillId="0" borderId="40">
      <alignment horizontal="right" vertical="center"/>
    </xf>
    <xf numFmtId="0" fontId="75" fillId="0" borderId="0"/>
    <xf numFmtId="338" fontId="64" fillId="0" borderId="40">
      <alignment horizontal="right" vertical="center"/>
    </xf>
    <xf numFmtId="0" fontId="75" fillId="0" borderId="0"/>
    <xf numFmtId="338" fontId="64" fillId="0" borderId="40">
      <alignment horizontal="right" vertical="center"/>
    </xf>
    <xf numFmtId="0" fontId="75" fillId="0" borderId="0"/>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339" fontId="46"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9"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50" fontId="172" fillId="4" borderId="43" applyFont="0" applyFill="0" applyBorder="0"/>
    <xf numFmtId="338" fontId="64" fillId="0" borderId="40">
      <alignment horizontal="right" vertical="center"/>
    </xf>
    <xf numFmtId="338" fontId="64" fillId="0" borderId="40">
      <alignment horizontal="right" vertical="center"/>
    </xf>
    <xf numFmtId="338" fontId="64" fillId="0" borderId="40">
      <alignment horizontal="right" vertical="center"/>
    </xf>
    <xf numFmtId="340" fontId="46" fillId="0" borderId="40">
      <alignment horizontal="right" vertical="center"/>
    </xf>
    <xf numFmtId="338" fontId="64" fillId="0" borderId="40">
      <alignment horizontal="right" vertical="center"/>
    </xf>
    <xf numFmtId="340" fontId="46" fillId="0" borderId="40">
      <alignment horizontal="right" vertical="center"/>
    </xf>
    <xf numFmtId="0" fontId="75" fillId="0" borderId="0"/>
    <xf numFmtId="0" fontId="75" fillId="0" borderId="0"/>
    <xf numFmtId="340" fontId="46" fillId="0" borderId="40">
      <alignment horizontal="right" vertical="center"/>
    </xf>
    <xf numFmtId="340" fontId="46" fillId="0" borderId="40">
      <alignment horizontal="right" vertical="center"/>
    </xf>
    <xf numFmtId="0" fontId="75" fillId="0" borderId="0"/>
    <xf numFmtId="0" fontId="75" fillId="0" borderId="0"/>
    <xf numFmtId="338" fontId="64" fillId="0" borderId="40">
      <alignment horizontal="right" vertical="center"/>
    </xf>
    <xf numFmtId="340" fontId="46" fillId="0" borderId="40">
      <alignment horizontal="right" vertical="center"/>
    </xf>
    <xf numFmtId="340" fontId="46"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40" fontId="46" fillId="0" borderId="40">
      <alignment horizontal="right" vertical="center"/>
    </xf>
    <xf numFmtId="340" fontId="46" fillId="0" borderId="40">
      <alignment horizontal="right" vertical="center"/>
    </xf>
    <xf numFmtId="338" fontId="64" fillId="0" borderId="40">
      <alignment horizontal="right" vertical="center"/>
    </xf>
    <xf numFmtId="338" fontId="64" fillId="0" borderId="40">
      <alignment horizontal="right" vertical="center"/>
    </xf>
    <xf numFmtId="340" fontId="46" fillId="0" borderId="40">
      <alignment horizontal="right" vertical="center"/>
    </xf>
    <xf numFmtId="340" fontId="46" fillId="0" borderId="40">
      <alignment horizontal="right" vertical="center"/>
    </xf>
    <xf numFmtId="340" fontId="46" fillId="0" borderId="40">
      <alignment horizontal="right" vertical="center"/>
    </xf>
    <xf numFmtId="339" fontId="46" fillId="0" borderId="40">
      <alignment horizontal="right" vertical="center"/>
    </xf>
    <xf numFmtId="338" fontId="64" fillId="0" borderId="40">
      <alignment horizontal="right" vertical="center"/>
    </xf>
    <xf numFmtId="0" fontId="75" fillId="0" borderId="0"/>
    <xf numFmtId="338" fontId="64" fillId="0" borderId="40">
      <alignment horizontal="right" vertical="center"/>
    </xf>
    <xf numFmtId="338" fontId="64" fillId="0" borderId="40">
      <alignment horizontal="right" vertical="center"/>
    </xf>
    <xf numFmtId="343" fontId="66" fillId="0" borderId="40">
      <alignment horizontal="right" vertical="center"/>
    </xf>
    <xf numFmtId="0" fontId="75" fillId="0" borderId="0"/>
    <xf numFmtId="339" fontId="46" fillId="0" borderId="40">
      <alignment horizontal="right" vertical="center"/>
    </xf>
    <xf numFmtId="351" fontId="46" fillId="4" borderId="43" applyFont="0" applyFill="0" applyBorder="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40" fontId="46" fillId="0" borderId="40">
      <alignment horizontal="right" vertical="center"/>
    </xf>
    <xf numFmtId="338" fontId="64"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0" fontId="75" fillId="0" borderId="0"/>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0" fontId="75" fillId="0" borderId="0"/>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0" fontId="75" fillId="0" borderId="0"/>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341" fontId="63" fillId="0" borderId="40">
      <alignment horizontal="right" vertical="center"/>
    </xf>
    <xf numFmtId="0" fontId="75" fillId="0" borderId="0"/>
    <xf numFmtId="0" fontId="75" fillId="0" borderId="0"/>
    <xf numFmtId="0" fontId="75" fillId="0" borderId="0"/>
    <xf numFmtId="0" fontId="75" fillId="0" borderId="0"/>
    <xf numFmtId="0" fontId="75" fillId="0" borderId="0"/>
    <xf numFmtId="0" fontId="75" fillId="0" borderId="0"/>
    <xf numFmtId="341" fontId="63"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38" fontId="64" fillId="0" borderId="40">
      <alignment horizontal="right" vertical="center"/>
    </xf>
    <xf numFmtId="340" fontId="46" fillId="0" borderId="40">
      <alignment horizontal="right" vertical="center"/>
    </xf>
    <xf numFmtId="0" fontId="75" fillId="0" borderId="0"/>
    <xf numFmtId="300" fontId="112" fillId="0" borderId="44">
      <protection hidden="1"/>
    </xf>
    <xf numFmtId="352" fontId="104" fillId="0" borderId="9"/>
    <xf numFmtId="49" fontId="114" fillId="0" borderId="0" applyFill="0" applyBorder="0" applyAlignment="0"/>
    <xf numFmtId="353" fontId="46" fillId="0" borderId="0" applyFill="0" applyBorder="0" applyAlignment="0"/>
    <xf numFmtId="165" fontId="72" fillId="0" borderId="0" applyFont="0" applyFill="0" applyBorder="0" applyAlignment="0" applyProtection="0"/>
    <xf numFmtId="43" fontId="67" fillId="0" borderId="0" applyFont="0" applyFill="0" applyBorder="0" applyAlignment="0" applyProtection="0"/>
    <xf numFmtId="0" fontId="46" fillId="0" borderId="0"/>
    <xf numFmtId="0" fontId="46" fillId="0" borderId="0"/>
    <xf numFmtId="0" fontId="4" fillId="0" borderId="0"/>
    <xf numFmtId="43" fontId="4" fillId="0" borderId="0" applyFont="0" applyFill="0" applyBorder="0" applyAlignment="0" applyProtection="0"/>
    <xf numFmtId="0" fontId="46" fillId="0" borderId="0"/>
    <xf numFmtId="0" fontId="191" fillId="0" borderId="0"/>
    <xf numFmtId="0" fontId="75" fillId="0" borderId="0"/>
    <xf numFmtId="0" fontId="75" fillId="0" borderId="0"/>
    <xf numFmtId="165" fontId="72" fillId="0" borderId="0" applyFont="0" applyFill="0" applyBorder="0" applyAlignment="0" applyProtection="0"/>
    <xf numFmtId="0" fontId="3" fillId="0" borderId="0"/>
    <xf numFmtId="355" fontId="46" fillId="0" borderId="0" applyFill="0" applyBorder="0" applyAlignment="0"/>
    <xf numFmtId="201" fontId="64" fillId="0" borderId="40">
      <alignment horizontal="center"/>
    </xf>
    <xf numFmtId="0" fontId="194" fillId="0" borderId="62"/>
    <xf numFmtId="0" fontId="75" fillId="0" borderId="0"/>
    <xf numFmtId="0" fontId="64" fillId="0" borderId="0" applyNumberFormat="0" applyFill="0" applyBorder="0" applyAlignment="0" applyProtection="0"/>
    <xf numFmtId="0" fontId="75" fillId="0" borderId="0"/>
    <xf numFmtId="0" fontId="75" fillId="0" borderId="0"/>
    <xf numFmtId="0" fontId="46" fillId="0" borderId="0" applyNumberFormat="0" applyFill="0" applyBorder="0" applyAlignment="0" applyProtection="0"/>
    <xf numFmtId="0" fontId="101" fillId="0" borderId="9" applyNumberFormat="0" applyBorder="0" applyAlignment="0"/>
    <xf numFmtId="0" fontId="195" fillId="0" borderId="23" applyNumberFormat="0" applyBorder="0" applyAlignment="0">
      <alignment horizontal="center"/>
    </xf>
    <xf numFmtId="0" fontId="196" fillId="0" borderId="0" applyFont="0">
      <alignment horizontal="centerContinuous"/>
    </xf>
    <xf numFmtId="49" fontId="197" fillId="0" borderId="0">
      <alignment horizontal="justify" vertical="center" wrapText="1"/>
    </xf>
    <xf numFmtId="40" fontId="13" fillId="0" borderId="0"/>
    <xf numFmtId="0" fontId="198" fillId="0" borderId="9"/>
    <xf numFmtId="3" fontId="199" fillId="0" borderId="0" applyNumberFormat="0" applyFill="0" applyBorder="0" applyAlignment="0" applyProtection="0">
      <alignment horizontal="center" wrapText="1"/>
    </xf>
    <xf numFmtId="0" fontId="200" fillId="0" borderId="26" applyBorder="0" applyAlignment="0">
      <alignment horizontal="center" vertical="center"/>
    </xf>
    <xf numFmtId="0" fontId="201" fillId="0" borderId="0" applyNumberFormat="0" applyFill="0" applyBorder="0" applyAlignment="0" applyProtection="0">
      <alignment horizontal="centerContinuous"/>
    </xf>
    <xf numFmtId="0" fontId="134" fillId="0" borderId="63" applyNumberFormat="0" applyFill="0" applyBorder="0" applyAlignment="0" applyProtection="0">
      <alignment horizontal="center" vertical="center" wrapText="1"/>
    </xf>
    <xf numFmtId="0" fontId="202" fillId="0" borderId="64" applyNumberFormat="0" applyBorder="0" applyAlignment="0">
      <alignment vertical="center"/>
    </xf>
    <xf numFmtId="0" fontId="145" fillId="0" borderId="65" applyNumberFormat="0" applyAlignment="0">
      <alignment horizontal="center"/>
    </xf>
    <xf numFmtId="0" fontId="198" fillId="0" borderId="66">
      <alignment horizontal="center"/>
    </xf>
    <xf numFmtId="179" fontId="46" fillId="0" borderId="0" applyFont="0" applyFill="0" applyBorder="0" applyAlignment="0" applyProtection="0"/>
    <xf numFmtId="180" fontId="46" fillId="0" borderId="0" applyFont="0" applyFill="0" applyBorder="0" applyAlignment="0" applyProtection="0"/>
    <xf numFmtId="356" fontId="142" fillId="0" borderId="0" applyFont="0" applyFill="0" applyBorder="0" applyAlignment="0" applyProtection="0"/>
    <xf numFmtId="181" fontId="46" fillId="0" borderId="0" applyFont="0" applyFill="0" applyBorder="0" applyAlignment="0" applyProtection="0"/>
    <xf numFmtId="182" fontId="46" fillId="0" borderId="0" applyFont="0" applyFill="0" applyBorder="0" applyAlignment="0" applyProtection="0"/>
    <xf numFmtId="0" fontId="54" fillId="0" borderId="52">
      <alignment horizontal="center"/>
    </xf>
    <xf numFmtId="357" fontId="64" fillId="0" borderId="0"/>
    <xf numFmtId="358" fontId="64" fillId="0" borderId="29"/>
    <xf numFmtId="0" fontId="203" fillId="0" borderId="0"/>
    <xf numFmtId="3" fontId="64" fillId="0" borderId="0" applyNumberFormat="0" applyBorder="0" applyAlignment="0" applyProtection="0">
      <alignment horizontal="centerContinuous"/>
      <protection locked="0"/>
    </xf>
    <xf numFmtId="3" fontId="84" fillId="0" borderId="0">
      <protection locked="0"/>
    </xf>
    <xf numFmtId="0" fontId="203" fillId="0" borderId="0"/>
    <xf numFmtId="0" fontId="204" fillId="0" borderId="67" applyFill="0" applyBorder="0" applyAlignment="0">
      <alignment horizontal="center"/>
    </xf>
    <xf numFmtId="5" fontId="205" fillId="26" borderId="26">
      <alignment vertical="top"/>
    </xf>
    <xf numFmtId="0" fontId="197" fillId="27" borderId="29">
      <alignment horizontal="left" vertical="center"/>
    </xf>
    <xf numFmtId="6" fontId="206" fillId="28" borderId="26"/>
    <xf numFmtId="5" fontId="140" fillId="0" borderId="26">
      <alignment horizontal="left" vertical="top"/>
    </xf>
    <xf numFmtId="0" fontId="207" fillId="29" borderId="0">
      <alignment horizontal="left" vertical="center"/>
    </xf>
    <xf numFmtId="5" fontId="66" fillId="0" borderId="28">
      <alignment horizontal="left" vertical="top"/>
    </xf>
    <xf numFmtId="0" fontId="208" fillId="0" borderId="28">
      <alignment horizontal="left" vertical="center"/>
    </xf>
    <xf numFmtId="165" fontId="44" fillId="0" borderId="0" applyFont="0" applyFill="0" applyBorder="0" applyAlignment="0" applyProtection="0"/>
    <xf numFmtId="166" fontId="44" fillId="0" borderId="0" applyFont="0" applyFill="0" applyBorder="0" applyAlignment="0" applyProtection="0"/>
    <xf numFmtId="42" fontId="118" fillId="0" borderId="0" applyFont="0" applyFill="0" applyBorder="0" applyAlignment="0" applyProtection="0"/>
    <xf numFmtId="44" fontId="118" fillId="0" borderId="0" applyFont="0" applyFill="0" applyBorder="0" applyAlignment="0" applyProtection="0"/>
    <xf numFmtId="0" fontId="209" fillId="0" borderId="68" applyNumberFormat="0" applyFont="0" applyAlignment="0">
      <alignment horizontal="center"/>
    </xf>
    <xf numFmtId="0" fontId="210" fillId="0" borderId="0" applyNumberFormat="0" applyFill="0" applyBorder="0" applyAlignment="0" applyProtection="0"/>
    <xf numFmtId="179" fontId="63" fillId="0" borderId="0" applyFont="0" applyFill="0" applyBorder="0" applyAlignment="0" applyProtection="0"/>
    <xf numFmtId="0" fontId="75" fillId="0" borderId="0"/>
    <xf numFmtId="42" fontId="211" fillId="0" borderId="0" applyFont="0" applyFill="0" applyBorder="0" applyAlignment="0" applyProtection="0"/>
    <xf numFmtId="44" fontId="211" fillId="0" borderId="0" applyFont="0" applyFill="0" applyBorder="0" applyAlignment="0" applyProtection="0"/>
    <xf numFmtId="0" fontId="211" fillId="0" borderId="0"/>
    <xf numFmtId="0" fontId="212" fillId="0" borderId="0" applyFont="0" applyFill="0" applyBorder="0" applyAlignment="0" applyProtection="0"/>
    <xf numFmtId="0" fontId="212" fillId="0" borderId="0" applyFont="0" applyFill="0" applyBorder="0" applyAlignment="0" applyProtection="0"/>
    <xf numFmtId="0" fontId="14" fillId="0" borderId="0">
      <alignment vertical="center"/>
    </xf>
    <xf numFmtId="0" fontId="75" fillId="0" borderId="0"/>
    <xf numFmtId="227" fontId="213" fillId="0" borderId="0" applyFont="0" applyFill="0" applyBorder="0" applyAlignment="0" applyProtection="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60" fillId="0" borderId="0" applyFont="0" applyFill="0" applyBorder="0" applyAlignment="0" applyProtection="0"/>
    <xf numFmtId="0" fontId="60" fillId="0" borderId="0" applyFont="0" applyFill="0" applyBorder="0" applyAlignment="0" applyProtection="0"/>
    <xf numFmtId="359" fontId="214" fillId="0" borderId="0" applyFont="0" applyFill="0" applyBorder="0" applyAlignment="0" applyProtection="0"/>
    <xf numFmtId="360" fontId="214" fillId="0" borderId="0" applyFont="0" applyFill="0" applyBorder="0" applyAlignment="0" applyProtection="0"/>
    <xf numFmtId="192" fontId="215" fillId="0" borderId="0" applyFill="0" applyBorder="0" applyProtection="0">
      <alignment vertical="center"/>
    </xf>
    <xf numFmtId="193" fontId="216" fillId="0" borderId="0" applyFill="0" applyBorder="0" applyProtection="0">
      <alignment vertical="center"/>
      <protection locked="0"/>
    </xf>
    <xf numFmtId="0" fontId="60" fillId="0" borderId="0"/>
    <xf numFmtId="0" fontId="60" fillId="0" borderId="0"/>
    <xf numFmtId="0" fontId="217" fillId="0" borderId="0"/>
    <xf numFmtId="0" fontId="146" fillId="0" borderId="0"/>
    <xf numFmtId="179" fontId="218" fillId="0" borderId="0" applyFont="0" applyFill="0" applyBorder="0" applyAlignment="0" applyProtection="0"/>
    <xf numFmtId="180" fontId="218" fillId="0" borderId="0" applyFont="0" applyFill="0" applyBorder="0" applyAlignment="0" applyProtection="0"/>
    <xf numFmtId="0" fontId="24" fillId="0" borderId="0"/>
    <xf numFmtId="180" fontId="46" fillId="0" borderId="0" applyFont="0" applyFill="0" applyBorder="0" applyAlignment="0" applyProtection="0"/>
    <xf numFmtId="179" fontId="46" fillId="0" borderId="0" applyFont="0" applyFill="0" applyBorder="0" applyAlignment="0" applyProtection="0"/>
    <xf numFmtId="0" fontId="46" fillId="0" borderId="0"/>
    <xf numFmtId="181" fontId="218" fillId="0" borderId="0" applyFont="0" applyFill="0" applyBorder="0" applyAlignment="0" applyProtection="0"/>
    <xf numFmtId="6" fontId="76" fillId="0" borderId="0" applyFont="0" applyFill="0" applyBorder="0" applyAlignment="0" applyProtection="0"/>
    <xf numFmtId="182" fontId="218"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0" fontId="220" fillId="0" borderId="0"/>
    <xf numFmtId="0" fontId="221" fillId="0" borderId="0"/>
    <xf numFmtId="43" fontId="220" fillId="0" borderId="0" applyFont="0" applyFill="0" applyBorder="0" applyAlignment="0" applyProtection="0"/>
    <xf numFmtId="0" fontId="222" fillId="32" borderId="0" applyNumberFormat="0" applyBorder="0" applyAlignment="0" applyProtection="0"/>
    <xf numFmtId="0" fontId="222" fillId="15" borderId="0" applyNumberFormat="0" applyBorder="0" applyAlignment="0" applyProtection="0"/>
    <xf numFmtId="0" fontId="222" fillId="17" borderId="0" applyNumberFormat="0" applyBorder="0" applyAlignment="0" applyProtection="0"/>
    <xf numFmtId="0" fontId="222" fillId="33" borderId="0" applyNumberFormat="0" applyBorder="0" applyAlignment="0" applyProtection="0"/>
    <xf numFmtId="0" fontId="222" fillId="34" borderId="0" applyNumberFormat="0" applyBorder="0" applyAlignment="0" applyProtection="0"/>
    <xf numFmtId="0" fontId="222" fillId="35" borderId="0" applyNumberFormat="0" applyBorder="0" applyAlignment="0" applyProtection="0"/>
    <xf numFmtId="0" fontId="222" fillId="36" borderId="0" applyNumberFormat="0" applyBorder="0" applyAlignment="0" applyProtection="0"/>
    <xf numFmtId="0" fontId="222" fillId="37" borderId="0" applyNumberFormat="0" applyBorder="0" applyAlignment="0" applyProtection="0"/>
    <xf numFmtId="0" fontId="222" fillId="38" borderId="0" applyNumberFormat="0" applyBorder="0" applyAlignment="0" applyProtection="0"/>
    <xf numFmtId="0" fontId="222" fillId="39" borderId="0" applyNumberFormat="0" applyBorder="0" applyAlignment="0" applyProtection="0"/>
    <xf numFmtId="0" fontId="222" fillId="30" borderId="0" applyNumberFormat="0" applyBorder="0" applyAlignment="0" applyProtection="0"/>
    <xf numFmtId="0" fontId="222" fillId="40" borderId="0" applyNumberFormat="0" applyBorder="0" applyAlignment="0" applyProtection="0"/>
    <xf numFmtId="0" fontId="223" fillId="41" borderId="0" applyNumberFormat="0" applyBorder="0" applyAlignment="0" applyProtection="0"/>
    <xf numFmtId="0" fontId="223" fillId="42" borderId="0" applyNumberFormat="0" applyBorder="0" applyAlignment="0" applyProtection="0"/>
    <xf numFmtId="0" fontId="223" fillId="38" borderId="0" applyNumberFormat="0" applyBorder="0" applyAlignment="0" applyProtection="0"/>
    <xf numFmtId="0" fontId="223" fillId="43" borderId="0" applyNumberFormat="0" applyBorder="0" applyAlignment="0" applyProtection="0"/>
    <xf numFmtId="0" fontId="223" fillId="44" borderId="0" applyNumberFormat="0" applyBorder="0" applyAlignment="0" applyProtection="0"/>
    <xf numFmtId="0" fontId="223" fillId="45" borderId="0" applyNumberFormat="0" applyBorder="0" applyAlignment="0" applyProtection="0"/>
    <xf numFmtId="0" fontId="223" fillId="31" borderId="0" applyNumberFormat="0" applyBorder="0" applyAlignment="0" applyProtection="0"/>
    <xf numFmtId="0" fontId="223" fillId="46" borderId="0" applyNumberFormat="0" applyBorder="0" applyAlignment="0" applyProtection="0"/>
    <xf numFmtId="0" fontId="223" fillId="47" borderId="0" applyNumberFormat="0" applyBorder="0" applyAlignment="0" applyProtection="0"/>
    <xf numFmtId="0" fontId="223" fillId="48" borderId="0" applyNumberFormat="0" applyBorder="0" applyAlignment="0" applyProtection="0"/>
    <xf numFmtId="0" fontId="223" fillId="49" borderId="0" applyNumberFormat="0" applyBorder="0" applyAlignment="0" applyProtection="0"/>
    <xf numFmtId="0" fontId="223" fillId="50" borderId="0" applyNumberFormat="0" applyBorder="0" applyAlignment="0" applyProtection="0"/>
    <xf numFmtId="0" fontId="224" fillId="51" borderId="0" applyNumberFormat="0" applyBorder="0" applyAlignment="0" applyProtection="0"/>
    <xf numFmtId="0" fontId="225" fillId="52" borderId="71" applyNumberFormat="0" applyAlignment="0" applyProtection="0"/>
    <xf numFmtId="0" fontId="226" fillId="53" borderId="74" applyNumberFormat="0" applyAlignment="0" applyProtection="0"/>
    <xf numFmtId="0" fontId="227" fillId="0" borderId="0" applyNumberFormat="0" applyFill="0" applyBorder="0" applyAlignment="0" applyProtection="0"/>
    <xf numFmtId="0" fontId="228" fillId="54" borderId="0" applyNumberFormat="0" applyBorder="0" applyAlignment="0" applyProtection="0"/>
    <xf numFmtId="0" fontId="229" fillId="0" borderId="69" applyNumberFormat="0" applyFill="0" applyAlignment="0" applyProtection="0"/>
    <xf numFmtId="0" fontId="230" fillId="0" borderId="70" applyNumberFormat="0" applyFill="0" applyAlignment="0" applyProtection="0"/>
    <xf numFmtId="0" fontId="231" fillId="0" borderId="77" applyNumberFormat="0" applyFill="0" applyAlignment="0" applyProtection="0"/>
    <xf numFmtId="0" fontId="231" fillId="0" borderId="0" applyNumberFormat="0" applyFill="0" applyBorder="0" applyAlignment="0" applyProtection="0"/>
    <xf numFmtId="0" fontId="232" fillId="55" borderId="71" applyNumberFormat="0" applyAlignment="0" applyProtection="0"/>
    <xf numFmtId="0" fontId="233" fillId="0" borderId="73" applyNumberFormat="0" applyFill="0" applyAlignment="0" applyProtection="0"/>
    <xf numFmtId="0" fontId="234" fillId="56" borderId="0" applyNumberFormat="0" applyBorder="0" applyAlignment="0" applyProtection="0"/>
    <xf numFmtId="0" fontId="235" fillId="57" borderId="75" applyNumberFormat="0" applyFont="0" applyAlignment="0" applyProtection="0"/>
    <xf numFmtId="0" fontId="236" fillId="52" borderId="72" applyNumberFormat="0" applyAlignment="0" applyProtection="0"/>
    <xf numFmtId="0" fontId="237" fillId="0" borderId="0" applyNumberFormat="0" applyFill="0" applyBorder="0" applyAlignment="0" applyProtection="0"/>
    <xf numFmtId="0" fontId="238" fillId="0" borderId="76" applyNumberFormat="0" applyFill="0" applyAlignment="0" applyProtection="0"/>
    <xf numFmtId="0" fontId="239" fillId="0" borderId="0" applyNumberFormat="0" applyFill="0" applyBorder="0" applyAlignment="0" applyProtection="0"/>
    <xf numFmtId="0" fontId="2" fillId="0" borderId="0"/>
    <xf numFmtId="43" fontId="191" fillId="0" borderId="0" applyFont="0" applyFill="0" applyBorder="0" applyAlignment="0" applyProtection="0"/>
    <xf numFmtId="43" fontId="240" fillId="0" borderId="0" applyFont="0" applyFill="0" applyBorder="0" applyAlignment="0" applyProtection="0"/>
    <xf numFmtId="43" fontId="191" fillId="0" borderId="0" applyFont="0" applyFill="0" applyBorder="0" applyAlignment="0" applyProtection="0"/>
    <xf numFmtId="0" fontId="6" fillId="0" borderId="0"/>
    <xf numFmtId="43" fontId="2" fillId="0" borderId="0" applyFont="0" applyFill="0" applyBorder="0" applyAlignment="0" applyProtection="0"/>
    <xf numFmtId="0" fontId="2" fillId="0" borderId="0"/>
    <xf numFmtId="0" fontId="63" fillId="0" borderId="0"/>
    <xf numFmtId="0" fontId="241" fillId="0" borderId="0"/>
    <xf numFmtId="0" fontId="24" fillId="0" borderId="0"/>
    <xf numFmtId="0" fontId="75" fillId="0" borderId="0"/>
    <xf numFmtId="0" fontId="1" fillId="0" borderId="0"/>
    <xf numFmtId="43" fontId="1" fillId="0" borderId="0" applyFont="0" applyFill="0" applyBorder="0" applyAlignment="0" applyProtection="0"/>
    <xf numFmtId="0" fontId="14" fillId="0" borderId="0"/>
    <xf numFmtId="43" fontId="14" fillId="0" borderId="0" applyFont="0" applyFill="0" applyBorder="0" applyAlignment="0" applyProtection="0"/>
  </cellStyleXfs>
  <cellXfs count="822">
    <xf numFmtId="0" fontId="0" fillId="0" borderId="0" xfId="0"/>
    <xf numFmtId="0" fontId="8" fillId="0" borderId="0" xfId="0" applyFont="1" applyAlignment="1">
      <alignment vertical="center"/>
    </xf>
    <xf numFmtId="166" fontId="8" fillId="0" borderId="0" xfId="1" applyNumberFormat="1" applyFont="1" applyAlignment="1">
      <alignment vertical="center"/>
    </xf>
    <xf numFmtId="0" fontId="8" fillId="0" borderId="0" xfId="0" applyFont="1" applyAlignment="1">
      <alignment horizontal="center" vertical="center"/>
    </xf>
    <xf numFmtId="0" fontId="10" fillId="0" borderId="0" xfId="0" applyFont="1" applyAlignment="1">
      <alignment horizontal="centerContinuous" vertical="center"/>
    </xf>
    <xf numFmtId="0" fontId="11" fillId="0" borderId="0" xfId="0" applyFont="1" applyAlignment="1">
      <alignment horizontal="centerContinuous" vertical="center"/>
    </xf>
    <xf numFmtId="0" fontId="8" fillId="0" borderId="0" xfId="0" applyFont="1" applyAlignment="1">
      <alignment horizontal="centerContinuous" vertical="center"/>
    </xf>
    <xf numFmtId="0" fontId="12" fillId="0" borderId="0" xfId="0" applyFont="1" applyAlignment="1">
      <alignment horizontal="centerContinuous" vertical="center"/>
    </xf>
    <xf numFmtId="167" fontId="8" fillId="0" borderId="0" xfId="1" applyNumberFormat="1" applyFont="1" applyAlignment="1">
      <alignment vertical="center"/>
    </xf>
    <xf numFmtId="167" fontId="10" fillId="0" borderId="0" xfId="1" applyNumberFormat="1" applyFont="1" applyAlignment="1">
      <alignment horizontal="centerContinuous" vertical="center"/>
    </xf>
    <xf numFmtId="0" fontId="13" fillId="0" borderId="0" xfId="0" applyFont="1" applyAlignment="1">
      <alignment vertical="center"/>
    </xf>
    <xf numFmtId="167" fontId="14" fillId="0" borderId="0" xfId="1" applyNumberFormat="1" applyFont="1" applyAlignment="1">
      <alignment horizontal="centerContinuous" vertical="center"/>
    </xf>
    <xf numFmtId="0" fontId="13" fillId="0" borderId="0" xfId="0" applyFont="1" applyBorder="1" applyAlignment="1">
      <alignment vertical="center"/>
    </xf>
    <xf numFmtId="169" fontId="13" fillId="0" borderId="0" xfId="0" applyNumberFormat="1" applyFont="1" applyBorder="1" applyAlignment="1">
      <alignment vertical="center"/>
    </xf>
    <xf numFmtId="0" fontId="9" fillId="2" borderId="0" xfId="0" applyFont="1" applyFill="1" applyAlignment="1">
      <alignment vertical="center"/>
    </xf>
    <xf numFmtId="167" fontId="9" fillId="2" borderId="0" xfId="1" applyNumberFormat="1" applyFont="1" applyFill="1" applyAlignment="1">
      <alignment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vertical="center"/>
    </xf>
    <xf numFmtId="166" fontId="10" fillId="0" borderId="0" xfId="1" applyNumberFormat="1" applyFont="1" applyAlignment="1">
      <alignment horizontal="centerContinuous"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169" fontId="15" fillId="3" borderId="6" xfId="1" applyNumberFormat="1" applyFont="1" applyFill="1" applyBorder="1" applyAlignment="1">
      <alignment horizontal="center" vertical="center"/>
    </xf>
    <xf numFmtId="166" fontId="15" fillId="3" borderId="6" xfId="1" applyNumberFormat="1" applyFont="1" applyFill="1" applyBorder="1" applyAlignment="1">
      <alignment horizontal="center" vertical="center"/>
    </xf>
    <xf numFmtId="167" fontId="8" fillId="0" borderId="7" xfId="1" applyNumberFormat="1" applyFont="1" applyBorder="1" applyAlignment="1">
      <alignment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9" xfId="0" applyFont="1" applyBorder="1" applyAlignment="1">
      <alignment vertical="center"/>
    </xf>
    <xf numFmtId="167" fontId="16" fillId="0" borderId="10" xfId="1" applyNumberFormat="1" applyFont="1" applyBorder="1" applyAlignment="1">
      <alignment vertical="center"/>
    </xf>
    <xf numFmtId="166" fontId="11" fillId="0" borderId="0" xfId="1" applyNumberFormat="1" applyFont="1" applyAlignment="1">
      <alignment horizontal="centerContinuous" vertical="center"/>
    </xf>
    <xf numFmtId="166" fontId="15" fillId="3" borderId="5" xfId="1" applyNumberFormat="1" applyFont="1" applyFill="1" applyBorder="1" applyAlignment="1">
      <alignment horizontal="center" vertical="center"/>
    </xf>
    <xf numFmtId="166" fontId="16" fillId="0" borderId="9" xfId="1" applyNumberFormat="1" applyFont="1" applyBorder="1" applyAlignment="1">
      <alignment vertical="center"/>
    </xf>
    <xf numFmtId="166" fontId="8" fillId="0" borderId="2" xfId="1" applyNumberFormat="1" applyFont="1" applyBorder="1" applyAlignment="1">
      <alignment vertical="center"/>
    </xf>
    <xf numFmtId="170" fontId="10" fillId="0" borderId="0" xfId="1" applyNumberFormat="1" applyFont="1" applyAlignment="1">
      <alignment horizontal="centerContinuous" vertical="center"/>
    </xf>
    <xf numFmtId="170" fontId="11" fillId="0" borderId="0" xfId="1" applyNumberFormat="1" applyFont="1" applyAlignment="1">
      <alignment horizontal="centerContinuous" vertical="center"/>
    </xf>
    <xf numFmtId="170" fontId="8" fillId="0" borderId="0" xfId="1" applyNumberFormat="1" applyFont="1" applyAlignment="1">
      <alignment vertical="center"/>
    </xf>
    <xf numFmtId="170" fontId="15" fillId="3" borderId="5" xfId="1" applyNumberFormat="1" applyFont="1" applyFill="1" applyBorder="1" applyAlignment="1">
      <alignment horizontal="center" vertical="center"/>
    </xf>
    <xf numFmtId="170" fontId="16" fillId="0" borderId="9" xfId="1" applyNumberFormat="1" applyFont="1" applyBorder="1" applyAlignment="1">
      <alignment vertical="center"/>
    </xf>
    <xf numFmtId="170" fontId="8" fillId="0" borderId="2" xfId="1" applyNumberFormat="1" applyFont="1" applyBorder="1" applyAlignment="1">
      <alignment vertical="center"/>
    </xf>
    <xf numFmtId="166" fontId="9" fillId="2" borderId="0" xfId="1" applyNumberFormat="1" applyFont="1" applyFill="1" applyAlignment="1">
      <alignment vertical="center"/>
    </xf>
    <xf numFmtId="166" fontId="17" fillId="2" borderId="12" xfId="1" applyNumberFormat="1" applyFont="1" applyFill="1" applyBorder="1" applyAlignment="1">
      <alignment vertical="center"/>
    </xf>
    <xf numFmtId="166" fontId="17" fillId="2" borderId="10" xfId="1" applyNumberFormat="1" applyFont="1" applyFill="1" applyBorder="1" applyAlignment="1">
      <alignment vertical="center"/>
    </xf>
    <xf numFmtId="167" fontId="18" fillId="2" borderId="9" xfId="1" applyNumberFormat="1" applyFont="1" applyFill="1" applyBorder="1" applyAlignment="1">
      <alignment vertical="center"/>
    </xf>
    <xf numFmtId="166" fontId="18" fillId="2" borderId="10" xfId="1" applyNumberFormat="1" applyFont="1" applyFill="1" applyBorder="1" applyAlignment="1">
      <alignment vertical="center"/>
    </xf>
    <xf numFmtId="166" fontId="19" fillId="2" borderId="10" xfId="1" applyNumberFormat="1" applyFont="1" applyFill="1" applyBorder="1" applyAlignment="1">
      <alignment vertical="center"/>
    </xf>
    <xf numFmtId="167" fontId="20" fillId="2" borderId="0" xfId="1" applyNumberFormat="1" applyFont="1" applyFill="1" applyAlignment="1">
      <alignment horizontal="centerContinuous" vertical="center"/>
    </xf>
    <xf numFmtId="166" fontId="20" fillId="2" borderId="0" xfId="1" applyNumberFormat="1" applyFont="1" applyFill="1" applyAlignment="1">
      <alignment horizontal="centerContinuous" vertical="center"/>
    </xf>
    <xf numFmtId="166" fontId="17" fillId="2" borderId="9" xfId="1" applyNumberFormat="1" applyFont="1" applyFill="1" applyBorder="1" applyAlignment="1">
      <alignment vertical="center"/>
    </xf>
    <xf numFmtId="166" fontId="18" fillId="2" borderId="9" xfId="1" applyNumberFormat="1" applyFont="1" applyFill="1" applyBorder="1" applyAlignment="1">
      <alignment vertical="center"/>
    </xf>
    <xf numFmtId="166" fontId="19" fillId="2" borderId="9" xfId="1" applyNumberFormat="1" applyFont="1" applyFill="1" applyBorder="1" applyAlignment="1">
      <alignment vertical="center"/>
    </xf>
    <xf numFmtId="0" fontId="20" fillId="2" borderId="0" xfId="0" applyFont="1" applyFill="1" applyAlignment="1">
      <alignment horizontal="centerContinuous" vertical="center" wrapText="1"/>
    </xf>
    <xf numFmtId="166" fontId="9" fillId="2" borderId="9" xfId="1" applyNumberFormat="1" applyFont="1" applyFill="1" applyBorder="1" applyAlignment="1">
      <alignment horizontal="center" vertical="center"/>
    </xf>
    <xf numFmtId="167" fontId="9" fillId="2" borderId="0" xfId="1" applyNumberFormat="1" applyFont="1" applyFill="1" applyAlignment="1">
      <alignment horizontal="centerContinuous" vertical="center" wrapText="1"/>
    </xf>
    <xf numFmtId="0" fontId="0" fillId="0" borderId="0" xfId="0" applyAlignment="1">
      <alignment horizontal="center"/>
    </xf>
    <xf numFmtId="166" fontId="9" fillId="2" borderId="0" xfId="1" applyNumberFormat="1" applyFont="1" applyFill="1" applyAlignment="1">
      <alignment horizontal="center" vertical="center"/>
    </xf>
    <xf numFmtId="166" fontId="9" fillId="2" borderId="0" xfId="1" applyNumberFormat="1" applyFont="1" applyFill="1" applyBorder="1" applyAlignment="1">
      <alignment horizontal="centerContinuous" vertical="center"/>
    </xf>
    <xf numFmtId="167" fontId="9" fillId="2" borderId="0" xfId="1" applyNumberFormat="1" applyFont="1" applyFill="1" applyBorder="1" applyAlignment="1">
      <alignment horizontal="centerContinuous" vertical="center"/>
    </xf>
    <xf numFmtId="166" fontId="9" fillId="2" borderId="9" xfId="1" applyNumberFormat="1" applyFont="1" applyFill="1" applyBorder="1" applyAlignment="1">
      <alignment vertical="center"/>
    </xf>
    <xf numFmtId="0" fontId="14" fillId="2" borderId="0" xfId="0" applyFont="1" applyFill="1" applyAlignment="1">
      <alignment horizontal="centerContinuous" vertical="center" wrapText="1"/>
    </xf>
    <xf numFmtId="0" fontId="15" fillId="3" borderId="4" xfId="0" applyFont="1" applyFill="1" applyBorder="1" applyAlignment="1">
      <alignment horizontal="center" vertical="center" wrapText="1"/>
    </xf>
    <xf numFmtId="166" fontId="15" fillId="3" borderId="13" xfId="1" applyNumberFormat="1" applyFont="1" applyFill="1" applyBorder="1" applyAlignment="1">
      <alignment horizontal="center" vertical="center"/>
    </xf>
    <xf numFmtId="167" fontId="9" fillId="2" borderId="0" xfId="1" applyNumberFormat="1" applyFont="1" applyFill="1" applyAlignment="1">
      <alignment horizontal="center" vertical="center"/>
    </xf>
    <xf numFmtId="167" fontId="9" fillId="2" borderId="9" xfId="1" applyNumberFormat="1" applyFont="1" applyFill="1" applyBorder="1" applyAlignment="1">
      <alignment horizontal="center" vertical="center"/>
    </xf>
    <xf numFmtId="0" fontId="0" fillId="0" borderId="0" xfId="0" applyFill="1"/>
    <xf numFmtId="166" fontId="9" fillId="2" borderId="10" xfId="1" applyNumberFormat="1" applyFont="1" applyFill="1" applyBorder="1" applyAlignment="1">
      <alignment vertical="center"/>
    </xf>
    <xf numFmtId="166" fontId="17" fillId="2" borderId="15" xfId="1" applyNumberFormat="1" applyFont="1" applyFill="1" applyBorder="1" applyAlignment="1">
      <alignment vertical="center"/>
    </xf>
    <xf numFmtId="167" fontId="19" fillId="2" borderId="9" xfId="1" applyNumberFormat="1" applyFont="1" applyFill="1" applyBorder="1" applyAlignment="1">
      <alignment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1" fillId="0" borderId="9" xfId="0" applyFont="1" applyBorder="1" applyAlignment="1">
      <alignment vertical="center"/>
    </xf>
    <xf numFmtId="170" fontId="21" fillId="0" borderId="9" xfId="1" applyNumberFormat="1" applyFont="1" applyBorder="1" applyAlignment="1">
      <alignment vertical="center"/>
    </xf>
    <xf numFmtId="166" fontId="21" fillId="0" borderId="9" xfId="1" applyNumberFormat="1" applyFont="1" applyBorder="1" applyAlignment="1">
      <alignment vertical="center"/>
    </xf>
    <xf numFmtId="167" fontId="21" fillId="0" borderId="10" xfId="1" applyNumberFormat="1" applyFont="1" applyBorder="1" applyAlignment="1">
      <alignment vertical="center"/>
    </xf>
    <xf numFmtId="167" fontId="17" fillId="2" borderId="9" xfId="1" applyNumberFormat="1" applyFont="1" applyFill="1" applyBorder="1" applyAlignment="1">
      <alignment vertical="center"/>
    </xf>
    <xf numFmtId="167" fontId="17" fillId="2" borderId="15" xfId="1" applyNumberFormat="1" applyFont="1" applyFill="1" applyBorder="1" applyAlignment="1">
      <alignment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2" fillId="0" borderId="9" xfId="0" applyFont="1" applyBorder="1" applyAlignment="1">
      <alignment vertical="center"/>
    </xf>
    <xf numFmtId="170" fontId="22" fillId="0" borderId="9" xfId="1" applyNumberFormat="1" applyFont="1" applyBorder="1" applyAlignment="1">
      <alignment vertical="center"/>
    </xf>
    <xf numFmtId="166" fontId="22" fillId="0" borderId="9" xfId="1" applyNumberFormat="1" applyFont="1" applyBorder="1" applyAlignment="1">
      <alignment vertical="center"/>
    </xf>
    <xf numFmtId="167" fontId="22" fillId="0" borderId="10" xfId="1" applyNumberFormat="1" applyFont="1" applyBorder="1" applyAlignment="1">
      <alignment vertical="center"/>
    </xf>
    <xf numFmtId="167" fontId="9" fillId="2" borderId="19" xfId="1" applyNumberFormat="1" applyFont="1" applyFill="1" applyBorder="1" applyAlignment="1">
      <alignment vertical="center"/>
    </xf>
    <xf numFmtId="166" fontId="9" fillId="2" borderId="9" xfId="1" applyNumberFormat="1" applyFont="1" applyFill="1" applyBorder="1" applyAlignment="1">
      <alignment horizontal="centerContinuous" vertical="center"/>
    </xf>
    <xf numFmtId="167" fontId="9" fillId="2" borderId="22" xfId="1" applyNumberFormat="1" applyFont="1" applyFill="1" applyBorder="1" applyAlignment="1">
      <alignment vertical="center"/>
    </xf>
    <xf numFmtId="166" fontId="9" fillId="2" borderId="23" xfId="1" applyNumberFormat="1" applyFont="1" applyFill="1" applyBorder="1" applyAlignment="1">
      <alignment vertical="center"/>
    </xf>
    <xf numFmtId="166" fontId="9" fillId="2" borderId="23" xfId="1" applyNumberFormat="1" applyFont="1" applyFill="1" applyBorder="1" applyAlignment="1">
      <alignment horizontal="centerContinuous" vertical="center"/>
    </xf>
    <xf numFmtId="166" fontId="9" fillId="2" borderId="24" xfId="1" applyNumberFormat="1" applyFont="1" applyFill="1" applyBorder="1" applyAlignment="1">
      <alignment vertical="center"/>
    </xf>
    <xf numFmtId="167" fontId="17" fillId="2" borderId="17" xfId="1" applyNumberFormat="1" applyFont="1" applyFill="1" applyBorder="1" applyAlignment="1">
      <alignment vertical="center"/>
    </xf>
    <xf numFmtId="167" fontId="17" fillId="2" borderId="19" xfId="1" applyNumberFormat="1" applyFont="1" applyFill="1" applyBorder="1" applyAlignment="1">
      <alignment vertical="center"/>
    </xf>
    <xf numFmtId="167" fontId="18" fillId="2" borderId="19" xfId="1" applyNumberFormat="1" applyFont="1" applyFill="1" applyBorder="1" applyAlignment="1">
      <alignment vertical="center"/>
    </xf>
    <xf numFmtId="167" fontId="19" fillId="2" borderId="19" xfId="1" applyNumberFormat="1" applyFont="1" applyFill="1" applyBorder="1" applyAlignment="1">
      <alignment vertical="center"/>
    </xf>
    <xf numFmtId="166" fontId="9" fillId="2" borderId="10" xfId="1" applyNumberFormat="1" applyFont="1" applyFill="1" applyBorder="1" applyAlignment="1">
      <alignment horizontal="center" vertical="center"/>
    </xf>
    <xf numFmtId="49" fontId="20" fillId="2" borderId="0" xfId="0" applyNumberFormat="1" applyFont="1" applyFill="1" applyAlignment="1">
      <alignment horizontal="centerContinuous" vertical="center"/>
    </xf>
    <xf numFmtId="49" fontId="9" fillId="2" borderId="0" xfId="0" applyNumberFormat="1" applyFont="1" applyFill="1" applyAlignment="1">
      <alignment horizontal="center" vertical="center"/>
    </xf>
    <xf numFmtId="49" fontId="9" fillId="2" borderId="0" xfId="1" applyNumberFormat="1" applyFont="1" applyFill="1" applyAlignment="1">
      <alignment horizontal="center" vertical="center"/>
    </xf>
    <xf numFmtId="49" fontId="17" fillId="2" borderId="9" xfId="1" applyNumberFormat="1" applyFont="1" applyFill="1" applyBorder="1" applyAlignment="1">
      <alignment horizontal="center" vertical="center"/>
    </xf>
    <xf numFmtId="49" fontId="18" fillId="2" borderId="9" xfId="1" applyNumberFormat="1" applyFont="1" applyFill="1" applyBorder="1" applyAlignment="1">
      <alignment horizontal="center" vertical="center"/>
    </xf>
    <xf numFmtId="49" fontId="19" fillId="2" borderId="9" xfId="1" applyNumberFormat="1" applyFont="1" applyFill="1" applyBorder="1" applyAlignment="1">
      <alignment horizontal="center" vertical="center"/>
    </xf>
    <xf numFmtId="49" fontId="15" fillId="3" borderId="5" xfId="0" applyNumberFormat="1" applyFont="1" applyFill="1" applyBorder="1" applyAlignment="1">
      <alignment horizontal="center" vertical="center" wrapText="1"/>
    </xf>
    <xf numFmtId="49" fontId="9" fillId="2" borderId="0" xfId="1" applyNumberFormat="1" applyFont="1" applyFill="1" applyAlignment="1">
      <alignment vertical="center"/>
    </xf>
    <xf numFmtId="49" fontId="9" fillId="2" borderId="0" xfId="1" applyNumberFormat="1" applyFont="1" applyFill="1" applyBorder="1" applyAlignment="1">
      <alignment horizontal="centerContinuous" vertical="center"/>
    </xf>
    <xf numFmtId="49" fontId="17" fillId="2" borderId="15" xfId="1" applyNumberFormat="1" applyFont="1" applyFill="1" applyBorder="1" applyAlignment="1">
      <alignment horizontal="center" vertical="center"/>
    </xf>
    <xf numFmtId="49" fontId="9" fillId="2" borderId="9" xfId="1" applyNumberFormat="1" applyFont="1" applyFill="1" applyBorder="1" applyAlignment="1">
      <alignment horizontal="center" vertical="center"/>
    </xf>
    <xf numFmtId="49" fontId="9" fillId="2" borderId="23" xfId="1" applyNumberFormat="1" applyFont="1" applyFill="1" applyBorder="1" applyAlignment="1">
      <alignment horizontal="center" vertical="center"/>
    </xf>
    <xf numFmtId="168" fontId="9" fillId="2" borderId="0" xfId="1" applyNumberFormat="1" applyFont="1" applyFill="1" applyBorder="1" applyAlignment="1">
      <alignment horizontal="centerContinuous" vertical="center"/>
    </xf>
    <xf numFmtId="168" fontId="9" fillId="2" borderId="0" xfId="1" applyNumberFormat="1" applyFont="1" applyFill="1" applyAlignment="1">
      <alignment vertical="center"/>
    </xf>
    <xf numFmtId="167" fontId="9" fillId="2" borderId="9" xfId="1" applyNumberFormat="1" applyFont="1" applyFill="1" applyBorder="1" applyAlignment="1">
      <alignment horizontal="centerContinuous" vertical="center"/>
    </xf>
    <xf numFmtId="167" fontId="9" fillId="2" borderId="23" xfId="1" applyNumberFormat="1" applyFont="1" applyFill="1" applyBorder="1" applyAlignment="1">
      <alignment horizontal="centerContinuous" vertical="center"/>
    </xf>
    <xf numFmtId="49" fontId="17" fillId="2" borderId="16" xfId="1" applyNumberFormat="1" applyFont="1" applyFill="1" applyBorder="1" applyAlignment="1">
      <alignment vertical="center"/>
    </xf>
    <xf numFmtId="49" fontId="17" fillId="2" borderId="18" xfId="1" applyNumberFormat="1" applyFont="1" applyFill="1" applyBorder="1" applyAlignment="1">
      <alignment vertical="center"/>
    </xf>
    <xf numFmtId="49" fontId="18" fillId="2" borderId="18" xfId="1" applyNumberFormat="1" applyFont="1" applyFill="1" applyBorder="1" applyAlignment="1">
      <alignment vertical="center"/>
    </xf>
    <xf numFmtId="49" fontId="9" fillId="2" borderId="18" xfId="1" applyNumberFormat="1" applyFont="1" applyFill="1" applyBorder="1" applyAlignment="1">
      <alignment vertical="center"/>
    </xf>
    <xf numFmtId="49" fontId="19" fillId="2" borderId="18" xfId="1" applyNumberFormat="1" applyFont="1" applyFill="1" applyBorder="1" applyAlignment="1">
      <alignment vertical="center"/>
    </xf>
    <xf numFmtId="49" fontId="9" fillId="2" borderId="31" xfId="1" applyNumberFormat="1" applyFont="1" applyFill="1" applyBorder="1" applyAlignment="1">
      <alignment vertical="center"/>
    </xf>
    <xf numFmtId="168" fontId="17" fillId="2" borderId="17" xfId="1" applyNumberFormat="1" applyFont="1" applyFill="1" applyBorder="1" applyAlignment="1">
      <alignment vertical="center"/>
    </xf>
    <xf numFmtId="168" fontId="17" fillId="2" borderId="19" xfId="1" applyNumberFormat="1" applyFont="1" applyFill="1" applyBorder="1" applyAlignment="1">
      <alignment vertical="center"/>
    </xf>
    <xf numFmtId="168" fontId="18" fillId="2" borderId="19" xfId="1" applyNumberFormat="1" applyFont="1" applyFill="1" applyBorder="1" applyAlignment="1">
      <alignment vertical="center"/>
    </xf>
    <xf numFmtId="168" fontId="9" fillId="2" borderId="19" xfId="1" applyNumberFormat="1" applyFont="1" applyFill="1" applyBorder="1" applyAlignment="1">
      <alignment vertical="center"/>
    </xf>
    <xf numFmtId="168" fontId="19" fillId="2" borderId="19" xfId="1" applyNumberFormat="1" applyFont="1" applyFill="1" applyBorder="1" applyAlignment="1">
      <alignment vertical="center"/>
    </xf>
    <xf numFmtId="168" fontId="9" fillId="2" borderId="22" xfId="1" applyNumberFormat="1" applyFont="1" applyFill="1" applyBorder="1" applyAlignment="1">
      <alignment vertical="center"/>
    </xf>
    <xf numFmtId="49" fontId="17" fillId="2" borderId="17" xfId="1" applyNumberFormat="1" applyFont="1" applyFill="1" applyBorder="1" applyAlignment="1">
      <alignment vertical="center"/>
    </xf>
    <xf numFmtId="49" fontId="17" fillId="2" borderId="19" xfId="1" applyNumberFormat="1" applyFont="1" applyFill="1" applyBorder="1" applyAlignment="1">
      <alignment vertical="center"/>
    </xf>
    <xf numFmtId="49" fontId="18" fillId="2" borderId="19" xfId="1" applyNumberFormat="1" applyFont="1" applyFill="1" applyBorder="1" applyAlignment="1">
      <alignment vertical="center"/>
    </xf>
    <xf numFmtId="49" fontId="9" fillId="2" borderId="19" xfId="1" applyNumberFormat="1" applyFont="1" applyFill="1" applyBorder="1" applyAlignment="1">
      <alignment vertical="center"/>
    </xf>
    <xf numFmtId="49" fontId="19" fillId="2" borderId="19" xfId="1" applyNumberFormat="1" applyFont="1" applyFill="1" applyBorder="1" applyAlignment="1">
      <alignment vertical="center"/>
    </xf>
    <xf numFmtId="49" fontId="9" fillId="2" borderId="22" xfId="1" applyNumberFormat="1" applyFont="1" applyFill="1" applyBorder="1" applyAlignment="1">
      <alignment vertical="center"/>
    </xf>
    <xf numFmtId="49" fontId="9" fillId="2" borderId="9" xfId="0" applyNumberFormat="1" applyFont="1" applyFill="1" applyBorder="1" applyAlignment="1">
      <alignment horizontal="center" vertical="center"/>
    </xf>
    <xf numFmtId="167" fontId="15" fillId="3" borderId="5" xfId="1" applyNumberFormat="1" applyFont="1" applyFill="1" applyBorder="1" applyAlignment="1">
      <alignment horizontal="center" vertical="center" wrapText="1"/>
    </xf>
    <xf numFmtId="1" fontId="9" fillId="2" borderId="14" xfId="1" applyNumberFormat="1" applyFont="1" applyFill="1" applyBorder="1" applyAlignment="1">
      <alignment vertical="center"/>
    </xf>
    <xf numFmtId="1" fontId="12" fillId="2" borderId="0" xfId="1" applyNumberFormat="1" applyFont="1" applyFill="1" applyBorder="1" applyAlignment="1">
      <alignment horizontal="centerContinuous" vertical="center"/>
    </xf>
    <xf numFmtId="1" fontId="9" fillId="2" borderId="0" xfId="1" applyNumberFormat="1" applyFont="1" applyFill="1" applyAlignment="1">
      <alignment vertical="center"/>
    </xf>
    <xf numFmtId="1" fontId="9" fillId="2" borderId="8" xfId="1" applyNumberFormat="1" applyFont="1" applyFill="1" applyBorder="1" applyAlignment="1">
      <alignment vertical="center"/>
    </xf>
    <xf numFmtId="1" fontId="9" fillId="2" borderId="32" xfId="1" applyNumberFormat="1" applyFont="1" applyFill="1" applyBorder="1" applyAlignment="1">
      <alignment vertical="center"/>
    </xf>
    <xf numFmtId="1" fontId="12" fillId="2" borderId="0" xfId="0" applyNumberFormat="1" applyFont="1" applyFill="1" applyAlignment="1">
      <alignment horizontal="centerContinuous" vertical="center"/>
    </xf>
    <xf numFmtId="1" fontId="9" fillId="2" borderId="0" xfId="0" applyNumberFormat="1" applyFont="1" applyFill="1" applyAlignment="1">
      <alignment horizontal="center" vertical="center"/>
    </xf>
    <xf numFmtId="1" fontId="15" fillId="3" borderId="3" xfId="0" applyNumberFormat="1" applyFont="1" applyFill="1" applyBorder="1" applyAlignment="1">
      <alignment horizontal="center" vertical="center"/>
    </xf>
    <xf numFmtId="1" fontId="9" fillId="2" borderId="8" xfId="0" applyNumberFormat="1" applyFont="1" applyFill="1" applyBorder="1" applyAlignment="1">
      <alignment horizontal="center" vertical="center"/>
    </xf>
    <xf numFmtId="166" fontId="23" fillId="2" borderId="0" xfId="1" applyNumberFormat="1" applyFont="1" applyFill="1" applyAlignment="1">
      <alignment horizontal="right" vertical="center"/>
    </xf>
    <xf numFmtId="49" fontId="25" fillId="2" borderId="2" xfId="0" applyNumberFormat="1" applyFont="1" applyFill="1" applyBorder="1" applyAlignment="1">
      <alignment horizontal="center" vertical="center"/>
    </xf>
    <xf numFmtId="0" fontId="9" fillId="2" borderId="0" xfId="0" applyFont="1" applyFill="1" applyAlignment="1">
      <alignment horizontal="left" vertical="center" wrapText="1"/>
    </xf>
    <xf numFmtId="0" fontId="9" fillId="2" borderId="9" xfId="0" applyFont="1" applyFill="1" applyBorder="1" applyAlignment="1">
      <alignment horizontal="left" vertical="center" wrapText="1"/>
    </xf>
    <xf numFmtId="49" fontId="25" fillId="2" borderId="0" xfId="1" applyNumberFormat="1" applyFont="1" applyFill="1" applyAlignment="1">
      <alignment horizontal="center" vertical="center"/>
    </xf>
    <xf numFmtId="167" fontId="25" fillId="2" borderId="0" xfId="1" applyNumberFormat="1" applyFont="1" applyFill="1" applyAlignment="1">
      <alignment vertical="center"/>
    </xf>
    <xf numFmtId="166" fontId="25" fillId="2" borderId="0" xfId="1" applyNumberFormat="1" applyFont="1" applyFill="1" applyAlignment="1">
      <alignment vertical="center"/>
    </xf>
    <xf numFmtId="49" fontId="27" fillId="2" borderId="9" xfId="1" applyNumberFormat="1" applyFont="1" applyFill="1" applyBorder="1" applyAlignment="1">
      <alignment horizontal="center" vertical="center"/>
    </xf>
    <xf numFmtId="166" fontId="27" fillId="2" borderId="9" xfId="1" applyNumberFormat="1" applyFont="1" applyFill="1" applyBorder="1" applyAlignment="1">
      <alignment vertical="center"/>
    </xf>
    <xf numFmtId="166" fontId="27" fillId="2" borderId="10" xfId="1" applyNumberFormat="1" applyFont="1" applyFill="1" applyBorder="1" applyAlignment="1">
      <alignment vertical="center"/>
    </xf>
    <xf numFmtId="49" fontId="26" fillId="4" borderId="15" xfId="0" applyNumberFormat="1" applyFont="1" applyFill="1" applyBorder="1" applyAlignment="1">
      <alignment horizontal="center" vertical="center"/>
    </xf>
    <xf numFmtId="166" fontId="26" fillId="4" borderId="15" xfId="1" applyNumberFormat="1" applyFont="1" applyFill="1" applyBorder="1" applyAlignment="1">
      <alignment horizontal="center" vertical="center"/>
    </xf>
    <xf numFmtId="166" fontId="26" fillId="4" borderId="12" xfId="1" applyNumberFormat="1" applyFont="1" applyFill="1" applyBorder="1" applyAlignment="1">
      <alignment horizontal="center" vertical="center"/>
    </xf>
    <xf numFmtId="0" fontId="26" fillId="4" borderId="15" xfId="0" applyFont="1" applyFill="1" applyBorder="1" applyAlignment="1">
      <alignment horizontal="center" vertical="center" wrapText="1"/>
    </xf>
    <xf numFmtId="49" fontId="14" fillId="2" borderId="0" xfId="0" applyNumberFormat="1" applyFont="1" applyFill="1" applyAlignment="1">
      <alignment horizontal="centerContinuous" vertical="center" wrapText="1"/>
    </xf>
    <xf numFmtId="1" fontId="11" fillId="2" borderId="0" xfId="0" applyNumberFormat="1" applyFont="1" applyFill="1" applyAlignment="1">
      <alignment horizontal="centerContinuous" vertical="center" wrapText="1"/>
    </xf>
    <xf numFmtId="167" fontId="14" fillId="2" borderId="0" xfId="1" applyNumberFormat="1" applyFont="1" applyFill="1" applyAlignment="1">
      <alignment horizontal="centerContinuous" vertical="center" wrapText="1"/>
    </xf>
    <xf numFmtId="166" fontId="14" fillId="2" borderId="0" xfId="1" applyNumberFormat="1" applyFont="1" applyFill="1" applyAlignment="1">
      <alignment horizontal="centerContinuous" vertical="center" wrapText="1"/>
    </xf>
    <xf numFmtId="1" fontId="11" fillId="2" borderId="0" xfId="1" applyNumberFormat="1" applyFont="1" applyFill="1" applyBorder="1" applyAlignment="1">
      <alignment horizontal="centerContinuous" vertical="center" wrapText="1"/>
    </xf>
    <xf numFmtId="166" fontId="9" fillId="2" borderId="0" xfId="1" applyNumberFormat="1" applyFont="1" applyFill="1" applyBorder="1" applyAlignment="1">
      <alignment horizontal="centerContinuous" vertical="center" wrapText="1"/>
    </xf>
    <xf numFmtId="49" fontId="9" fillId="2" borderId="0" xfId="1" applyNumberFormat="1" applyFont="1" applyFill="1" applyBorder="1" applyAlignment="1">
      <alignment horizontal="centerContinuous" vertical="center" wrapText="1"/>
    </xf>
    <xf numFmtId="167" fontId="9" fillId="2" borderId="0" xfId="1" applyNumberFormat="1" applyFont="1" applyFill="1" applyBorder="1" applyAlignment="1">
      <alignment horizontal="centerContinuous" vertical="center" wrapText="1"/>
    </xf>
    <xf numFmtId="168" fontId="9" fillId="2" borderId="0" xfId="1" applyNumberFormat="1" applyFont="1" applyFill="1" applyBorder="1" applyAlignment="1">
      <alignment horizontal="centerContinuous" vertical="center" wrapText="1"/>
    </xf>
    <xf numFmtId="49" fontId="9" fillId="2" borderId="0" xfId="1" applyNumberFormat="1" applyFont="1" applyFill="1" applyAlignment="1">
      <alignment horizontal="centerContinuous" vertical="center" wrapText="1"/>
    </xf>
    <xf numFmtId="166" fontId="9" fillId="2" borderId="0" xfId="1" applyNumberFormat="1" applyFont="1" applyFill="1" applyAlignment="1">
      <alignment horizontal="centerContinuous" vertical="center" wrapText="1"/>
    </xf>
    <xf numFmtId="168" fontId="9" fillId="2" borderId="0" xfId="1" applyNumberFormat="1" applyFont="1" applyFill="1" applyAlignment="1">
      <alignment horizontal="centerContinuous" vertical="center" wrapText="1"/>
    </xf>
    <xf numFmtId="1" fontId="25" fillId="2" borderId="0" xfId="1" applyNumberFormat="1" applyFont="1" applyFill="1" applyAlignment="1">
      <alignment vertical="center"/>
    </xf>
    <xf numFmtId="49" fontId="25" fillId="2" borderId="0" xfId="1" applyNumberFormat="1" applyFont="1" applyFill="1" applyAlignment="1">
      <alignment vertical="center"/>
    </xf>
    <xf numFmtId="168" fontId="25" fillId="2" borderId="0" xfId="1" applyNumberFormat="1" applyFont="1" applyFill="1" applyAlignment="1">
      <alignment vertical="center"/>
    </xf>
    <xf numFmtId="1" fontId="26" fillId="3" borderId="3" xfId="1" applyNumberFormat="1" applyFont="1" applyFill="1" applyBorder="1" applyAlignment="1">
      <alignment horizontal="center" vertical="center"/>
    </xf>
    <xf numFmtId="166" fontId="26" fillId="3" borderId="5" xfId="1" applyNumberFormat="1" applyFont="1" applyFill="1" applyBorder="1" applyAlignment="1">
      <alignment horizontal="center" vertical="center"/>
    </xf>
    <xf numFmtId="49" fontId="26" fillId="3" borderId="5" xfId="1" applyNumberFormat="1" applyFont="1" applyFill="1" applyBorder="1" applyAlignment="1">
      <alignment horizontal="center" vertical="center"/>
    </xf>
    <xf numFmtId="167" fontId="26" fillId="3" borderId="5" xfId="1" applyNumberFormat="1" applyFont="1" applyFill="1" applyBorder="1" applyAlignment="1">
      <alignment horizontal="center" vertical="center"/>
    </xf>
    <xf numFmtId="49" fontId="26" fillId="3" borderId="5" xfId="1" applyNumberFormat="1" applyFont="1" applyFill="1" applyBorder="1" applyAlignment="1">
      <alignment horizontal="centerContinuous" vertical="center"/>
    </xf>
    <xf numFmtId="168" fontId="26" fillId="3" borderId="5" xfId="1" applyNumberFormat="1" applyFont="1" applyFill="1" applyBorder="1" applyAlignment="1">
      <alignment horizontal="centerContinuous" vertical="center"/>
    </xf>
    <xf numFmtId="167" fontId="26" fillId="3" borderId="5" xfId="1" applyNumberFormat="1" applyFont="1" applyFill="1" applyBorder="1" applyAlignment="1">
      <alignment horizontal="centerContinuous" vertical="center"/>
    </xf>
    <xf numFmtId="166" fontId="26" fillId="3" borderId="6" xfId="1" applyNumberFormat="1" applyFont="1" applyFill="1" applyBorder="1" applyAlignment="1">
      <alignment horizontal="center" vertical="center"/>
    </xf>
    <xf numFmtId="1" fontId="25" fillId="2" borderId="8" xfId="1" applyNumberFormat="1" applyFont="1" applyFill="1" applyBorder="1" applyAlignment="1">
      <alignment vertical="center"/>
    </xf>
    <xf numFmtId="1" fontId="25" fillId="2" borderId="33" xfId="1" applyNumberFormat="1" applyFont="1" applyFill="1" applyBorder="1" applyAlignment="1">
      <alignment vertical="center"/>
    </xf>
    <xf numFmtId="1" fontId="25" fillId="2" borderId="1" xfId="1" applyNumberFormat="1" applyFont="1" applyFill="1" applyBorder="1" applyAlignment="1">
      <alignment vertical="center"/>
    </xf>
    <xf numFmtId="167" fontId="27" fillId="2" borderId="9" xfId="1" applyNumberFormat="1" applyFont="1" applyFill="1" applyBorder="1" applyAlignment="1">
      <alignment vertical="center"/>
    </xf>
    <xf numFmtId="49" fontId="27" fillId="2" borderId="18" xfId="1" applyNumberFormat="1" applyFont="1" applyFill="1" applyBorder="1" applyAlignment="1">
      <alignment vertical="center"/>
    </xf>
    <xf numFmtId="168" fontId="27" fillId="2" borderId="19" xfId="1" applyNumberFormat="1" applyFont="1" applyFill="1" applyBorder="1" applyAlignment="1">
      <alignment vertical="center"/>
    </xf>
    <xf numFmtId="49" fontId="27" fillId="2" borderId="19" xfId="1" applyNumberFormat="1" applyFont="1" applyFill="1" applyBorder="1" applyAlignment="1">
      <alignment vertical="center"/>
    </xf>
    <xf numFmtId="167" fontId="27" fillId="2" borderId="19" xfId="1" applyNumberFormat="1" applyFont="1" applyFill="1" applyBorder="1" applyAlignment="1">
      <alignment vertical="center"/>
    </xf>
    <xf numFmtId="167" fontId="27" fillId="2" borderId="9" xfId="1" applyNumberFormat="1" applyFont="1" applyFill="1" applyBorder="1" applyAlignment="1">
      <alignment horizontal="centerContinuous" vertical="center"/>
    </xf>
    <xf numFmtId="166" fontId="27" fillId="2" borderId="9" xfId="1" applyNumberFormat="1" applyFont="1" applyFill="1" applyBorder="1" applyAlignment="1">
      <alignment horizontal="centerContinuous" vertical="center"/>
    </xf>
    <xf numFmtId="166" fontId="27" fillId="2" borderId="2" xfId="1" applyNumberFormat="1" applyFont="1" applyFill="1" applyBorder="1" applyAlignment="1">
      <alignment vertical="center"/>
    </xf>
    <xf numFmtId="49" fontId="27" fillId="2" borderId="2" xfId="1" applyNumberFormat="1" applyFont="1" applyFill="1" applyBorder="1" applyAlignment="1">
      <alignment horizontal="center" vertical="center"/>
    </xf>
    <xf numFmtId="167" fontId="27" fillId="2" borderId="2" xfId="1" applyNumberFormat="1" applyFont="1" applyFill="1" applyBorder="1" applyAlignment="1">
      <alignment horizontal="centerContinuous" vertical="center"/>
    </xf>
    <xf numFmtId="166" fontId="27" fillId="2" borderId="2" xfId="1" applyNumberFormat="1" applyFont="1" applyFill="1" applyBorder="1" applyAlignment="1">
      <alignment horizontal="centerContinuous" vertical="center"/>
    </xf>
    <xf numFmtId="49" fontId="27" fillId="2" borderId="20" xfId="1" applyNumberFormat="1" applyFont="1" applyFill="1" applyBorder="1" applyAlignment="1">
      <alignment vertical="center"/>
    </xf>
    <xf numFmtId="168" fontId="27" fillId="2" borderId="21" xfId="1" applyNumberFormat="1" applyFont="1" applyFill="1" applyBorder="1" applyAlignment="1">
      <alignment vertical="center"/>
    </xf>
    <xf numFmtId="49" fontId="27" fillId="2" borderId="21" xfId="1" applyNumberFormat="1" applyFont="1" applyFill="1" applyBorder="1" applyAlignment="1">
      <alignment vertical="center"/>
    </xf>
    <xf numFmtId="167" fontId="27" fillId="2" borderId="21" xfId="1" applyNumberFormat="1" applyFont="1" applyFill="1" applyBorder="1" applyAlignment="1">
      <alignment vertical="center"/>
    </xf>
    <xf numFmtId="166" fontId="27" fillId="2" borderId="7" xfId="1" applyNumberFormat="1" applyFont="1" applyFill="1" applyBorder="1" applyAlignment="1">
      <alignment vertical="center"/>
    </xf>
    <xf numFmtId="166" fontId="27" fillId="2" borderId="34" xfId="1" applyNumberFormat="1" applyFont="1" applyFill="1" applyBorder="1" applyAlignment="1">
      <alignment vertical="center"/>
    </xf>
    <xf numFmtId="49" fontId="27" fillId="2" borderId="34" xfId="1" applyNumberFormat="1" applyFont="1" applyFill="1" applyBorder="1" applyAlignment="1">
      <alignment horizontal="center" vertical="center"/>
    </xf>
    <xf numFmtId="167" fontId="27" fillId="2" borderId="34" xfId="1" applyNumberFormat="1" applyFont="1" applyFill="1" applyBorder="1" applyAlignment="1">
      <alignment vertical="center"/>
    </xf>
    <xf numFmtId="49" fontId="27" fillId="2" borderId="35" xfId="1" applyNumberFormat="1" applyFont="1" applyFill="1" applyBorder="1" applyAlignment="1">
      <alignment vertical="center"/>
    </xf>
    <xf numFmtId="168" fontId="27" fillId="2" borderId="36" xfId="1" applyNumberFormat="1" applyFont="1" applyFill="1" applyBorder="1" applyAlignment="1">
      <alignment vertical="center"/>
    </xf>
    <xf numFmtId="49" fontId="27" fillId="2" borderId="36" xfId="1" applyNumberFormat="1" applyFont="1" applyFill="1" applyBorder="1" applyAlignment="1">
      <alignment vertical="center"/>
    </xf>
    <xf numFmtId="167" fontId="27" fillId="2" borderId="36" xfId="1" applyNumberFormat="1" applyFont="1" applyFill="1" applyBorder="1" applyAlignment="1">
      <alignment vertical="center"/>
    </xf>
    <xf numFmtId="166" fontId="27" fillId="2" borderId="37" xfId="1" applyNumberFormat="1" applyFont="1" applyFill="1" applyBorder="1" applyAlignment="1">
      <alignment vertical="center"/>
    </xf>
    <xf numFmtId="1" fontId="25" fillId="2" borderId="1" xfId="0" applyNumberFormat="1" applyFont="1" applyFill="1" applyBorder="1" applyAlignment="1">
      <alignment horizontal="center" vertical="center"/>
    </xf>
    <xf numFmtId="0" fontId="25" fillId="2" borderId="2" xfId="0" applyFont="1" applyFill="1" applyBorder="1" applyAlignment="1">
      <alignment horizontal="left" vertical="center" wrapText="1"/>
    </xf>
    <xf numFmtId="167" fontId="25" fillId="2" borderId="2" xfId="1" applyNumberFormat="1" applyFont="1" applyFill="1" applyBorder="1" applyAlignment="1">
      <alignment horizontal="center" vertical="center"/>
    </xf>
    <xf numFmtId="166" fontId="25" fillId="2" borderId="2" xfId="1" applyNumberFormat="1" applyFont="1" applyFill="1" applyBorder="1" applyAlignment="1">
      <alignment horizontal="center" vertical="center"/>
    </xf>
    <xf numFmtId="166" fontId="25" fillId="2" borderId="7" xfId="1" applyNumberFormat="1" applyFont="1" applyFill="1" applyBorder="1" applyAlignment="1">
      <alignment horizontal="center" vertical="center"/>
    </xf>
    <xf numFmtId="1" fontId="26" fillId="4" borderId="14" xfId="0" applyNumberFormat="1" applyFont="1" applyFill="1" applyBorder="1" applyAlignment="1">
      <alignment horizontal="center" vertical="center"/>
    </xf>
    <xf numFmtId="167" fontId="26" fillId="4" borderId="15" xfId="1" applyNumberFormat="1" applyFont="1" applyFill="1" applyBorder="1" applyAlignment="1">
      <alignment horizontal="center"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5" xfId="0" applyFont="1" applyBorder="1" applyAlignment="1">
      <alignment vertical="center"/>
    </xf>
    <xf numFmtId="170" fontId="28" fillId="0" borderId="15" xfId="1" applyNumberFormat="1" applyFont="1" applyBorder="1" applyAlignment="1">
      <alignment vertical="center"/>
    </xf>
    <xf numFmtId="166" fontId="28" fillId="0" borderId="15" xfId="1" applyNumberFormat="1" applyFont="1" applyBorder="1" applyAlignment="1">
      <alignment vertical="center"/>
    </xf>
    <xf numFmtId="167" fontId="28" fillId="0" borderId="12" xfId="1" applyNumberFormat="1" applyFont="1" applyBorder="1" applyAlignment="1">
      <alignment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28" fillId="0" borderId="9" xfId="0" applyFont="1" applyBorder="1" applyAlignment="1">
      <alignment vertical="center"/>
    </xf>
    <xf numFmtId="170" fontId="28" fillId="0" borderId="9" xfId="1" applyNumberFormat="1" applyFont="1" applyBorder="1" applyAlignment="1">
      <alignment vertical="center"/>
    </xf>
    <xf numFmtId="166" fontId="28" fillId="0" borderId="9" xfId="1" applyNumberFormat="1" applyFont="1" applyBorder="1" applyAlignment="1">
      <alignment vertical="center"/>
    </xf>
    <xf numFmtId="167" fontId="28" fillId="0" borderId="10" xfId="1" applyNumberFormat="1" applyFont="1" applyBorder="1" applyAlignment="1">
      <alignment vertical="center"/>
    </xf>
    <xf numFmtId="0" fontId="34" fillId="6" borderId="0" xfId="3" applyFont="1" applyFill="1" applyAlignment="1">
      <alignment vertical="center"/>
    </xf>
    <xf numFmtId="0" fontId="14" fillId="6" borderId="0" xfId="3" applyFont="1" applyFill="1" applyAlignment="1">
      <alignment vertical="center"/>
    </xf>
    <xf numFmtId="0" fontId="35" fillId="6" borderId="0" xfId="3" applyFont="1" applyFill="1" applyAlignment="1">
      <alignment horizontal="left" vertical="center"/>
    </xf>
    <xf numFmtId="0" fontId="14" fillId="0" borderId="0" xfId="3" applyFont="1" applyAlignment="1">
      <alignment vertical="center"/>
    </xf>
    <xf numFmtId="0" fontId="11" fillId="0" borderId="0" xfId="3" applyFont="1" applyAlignment="1">
      <alignment horizontal="right" vertical="center"/>
    </xf>
    <xf numFmtId="0" fontId="11" fillId="0" borderId="0" xfId="3" applyFont="1" applyAlignment="1">
      <alignment vertical="center"/>
    </xf>
    <xf numFmtId="0" fontId="37" fillId="0" borderId="0" xfId="3" applyFont="1" applyAlignment="1">
      <alignment vertical="center"/>
    </xf>
    <xf numFmtId="166" fontId="11" fillId="0" borderId="0" xfId="2" applyNumberFormat="1" applyFont="1" applyAlignment="1">
      <alignment vertical="center"/>
    </xf>
    <xf numFmtId="3" fontId="39" fillId="7" borderId="0" xfId="2" applyNumberFormat="1" applyFont="1" applyFill="1" applyAlignment="1">
      <alignment horizontal="center" vertical="center"/>
    </xf>
    <xf numFmtId="0" fontId="35" fillId="0" borderId="0" xfId="3" applyFont="1" applyAlignment="1">
      <alignment vertical="center"/>
    </xf>
    <xf numFmtId="165" fontId="14" fillId="0" borderId="0" xfId="3" applyNumberFormat="1" applyFont="1" applyAlignment="1">
      <alignment horizontal="right" vertical="center"/>
    </xf>
    <xf numFmtId="165" fontId="35" fillId="3" borderId="0" xfId="3" applyNumberFormat="1" applyFont="1" applyFill="1" applyAlignment="1">
      <alignment horizontal="center" vertical="center"/>
    </xf>
    <xf numFmtId="167" fontId="40" fillId="0" borderId="0" xfId="2" applyNumberFormat="1" applyFont="1" applyAlignment="1">
      <alignment vertical="center"/>
    </xf>
    <xf numFmtId="0" fontId="35" fillId="0" borderId="0" xfId="3" applyFont="1" applyFill="1" applyAlignment="1">
      <alignment vertical="center"/>
    </xf>
    <xf numFmtId="0" fontId="14" fillId="0" borderId="0" xfId="3" applyFont="1" applyFill="1" applyAlignment="1">
      <alignment horizontal="right" vertical="center"/>
    </xf>
    <xf numFmtId="0" fontId="14" fillId="0" borderId="0" xfId="3" applyFont="1" applyFill="1" applyAlignment="1">
      <alignment vertical="center"/>
    </xf>
    <xf numFmtId="3" fontId="39" fillId="0" borderId="0" xfId="2" applyNumberFormat="1" applyFont="1" applyFill="1" applyAlignment="1">
      <alignment horizontal="center" vertical="center"/>
    </xf>
    <xf numFmtId="167" fontId="40" fillId="0" borderId="0" xfId="2" applyNumberFormat="1" applyFont="1" applyFill="1" applyAlignment="1">
      <alignment vertical="center"/>
    </xf>
    <xf numFmtId="0" fontId="35" fillId="0" borderId="0" xfId="3" applyFont="1" applyAlignment="1">
      <alignment horizontal="center" vertical="center"/>
    </xf>
    <xf numFmtId="0" fontId="35" fillId="0" borderId="0" xfId="3" applyFont="1" applyFill="1" applyAlignment="1">
      <alignment horizontal="center" vertical="center"/>
    </xf>
    <xf numFmtId="0" fontId="11" fillId="0" borderId="0" xfId="3" applyNumberFormat="1" applyFont="1" applyAlignment="1">
      <alignment horizontal="center" vertical="center"/>
    </xf>
    <xf numFmtId="171" fontId="35" fillId="3" borderId="0" xfId="3" applyNumberFormat="1" applyFont="1" applyFill="1" applyAlignment="1">
      <alignment horizontal="center" vertical="center"/>
    </xf>
    <xf numFmtId="168" fontId="40" fillId="0" borderId="0" xfId="2" applyNumberFormat="1" applyFont="1" applyAlignment="1">
      <alignment vertical="center"/>
    </xf>
    <xf numFmtId="168" fontId="40" fillId="0" borderId="0" xfId="2" applyNumberFormat="1" applyFont="1" applyFill="1" applyAlignment="1">
      <alignment vertical="center"/>
    </xf>
    <xf numFmtId="165" fontId="14" fillId="0" borderId="0" xfId="3" applyNumberFormat="1" applyFont="1" applyFill="1" applyAlignment="1">
      <alignment horizontal="right" vertical="center"/>
    </xf>
    <xf numFmtId="165" fontId="35" fillId="0" borderId="0" xfId="3" applyNumberFormat="1" applyFont="1" applyFill="1" applyAlignment="1">
      <alignment horizontal="center" vertical="center"/>
    </xf>
    <xf numFmtId="172" fontId="11" fillId="0" borderId="0" xfId="2" applyNumberFormat="1" applyFont="1" applyAlignment="1">
      <alignment horizontal="center" vertical="center"/>
    </xf>
    <xf numFmtId="173" fontId="14" fillId="0" borderId="0" xfId="2" applyNumberFormat="1" applyFont="1" applyAlignment="1">
      <alignment vertical="center"/>
    </xf>
    <xf numFmtId="167" fontId="35" fillId="6" borderId="0" xfId="1" applyNumberFormat="1" applyFont="1" applyFill="1" applyAlignment="1">
      <alignment horizontal="center" vertical="center"/>
    </xf>
    <xf numFmtId="0" fontId="14" fillId="0" borderId="0" xfId="3" applyFont="1" applyAlignment="1">
      <alignment horizontal="center" vertical="center"/>
    </xf>
    <xf numFmtId="166" fontId="14" fillId="0" borderId="0" xfId="2" applyNumberFormat="1" applyFont="1" applyAlignment="1">
      <alignment horizontal="center" vertical="center"/>
    </xf>
    <xf numFmtId="165" fontId="14" fillId="0" borderId="0" xfId="1" applyNumberFormat="1" applyFont="1" applyAlignment="1">
      <alignment horizontal="center" vertical="center"/>
    </xf>
    <xf numFmtId="0" fontId="14" fillId="0" borderId="0" xfId="3" applyNumberFormat="1" applyFont="1" applyAlignment="1">
      <alignment horizontal="center" vertical="center"/>
    </xf>
    <xf numFmtId="0" fontId="14" fillId="0" borderId="0" xfId="2" applyNumberFormat="1" applyFont="1" applyAlignment="1">
      <alignment horizontal="center" vertical="center"/>
    </xf>
    <xf numFmtId="165" fontId="35" fillId="6" borderId="0" xfId="3" applyNumberFormat="1" applyFont="1" applyFill="1" applyAlignment="1">
      <alignment horizontal="center" vertical="center"/>
    </xf>
    <xf numFmtId="165" fontId="35" fillId="6" borderId="0" xfId="3" applyNumberFormat="1" applyFont="1" applyFill="1" applyAlignment="1">
      <alignment horizontal="right" vertical="center"/>
    </xf>
    <xf numFmtId="0" fontId="68" fillId="0" borderId="29" xfId="68" applyFont="1" applyFill="1" applyBorder="1" applyAlignment="1">
      <alignment horizontal="center" vertical="center"/>
    </xf>
    <xf numFmtId="0" fontId="6" fillId="0" borderId="29" xfId="68" applyFont="1" applyFill="1" applyBorder="1" applyAlignment="1">
      <alignment horizontal="center" vertical="center"/>
    </xf>
    <xf numFmtId="0" fontId="14" fillId="0" borderId="0" xfId="69" applyFont="1" applyFill="1"/>
    <xf numFmtId="0" fontId="11" fillId="0" borderId="0" xfId="69" applyFont="1" applyFill="1" applyAlignment="1">
      <alignment horizontal="center" vertical="center"/>
    </xf>
    <xf numFmtId="0" fontId="13" fillId="0" borderId="0" xfId="26" applyNumberFormat="1" applyFont="1" applyFill="1" applyBorder="1" applyAlignment="1">
      <alignment horizontal="center" vertical="center" textRotation="90" wrapText="1"/>
    </xf>
    <xf numFmtId="0" fontId="13" fillId="0" borderId="0" xfId="4136" applyFont="1" applyFill="1" applyBorder="1" applyAlignment="1">
      <alignment horizontal="center" vertical="center"/>
    </xf>
    <xf numFmtId="0" fontId="174" fillId="0" borderId="0" xfId="4136" applyFont="1" applyFill="1" applyAlignment="1">
      <alignment horizontal="centerContinuous" vertical="center" wrapText="1"/>
    </xf>
    <xf numFmtId="0" fontId="12" fillId="0" borderId="0" xfId="4136" applyFont="1" applyFill="1" applyAlignment="1">
      <alignment horizontal="centerContinuous" vertical="center"/>
    </xf>
    <xf numFmtId="0" fontId="30" fillId="0" borderId="0" xfId="4136" applyFont="1" applyFill="1" applyAlignment="1">
      <alignment horizontal="centerContinuous"/>
    </xf>
    <xf numFmtId="0" fontId="30" fillId="0" borderId="0" xfId="4136" applyFont="1" applyFill="1" applyAlignment="1"/>
    <xf numFmtId="0" fontId="31" fillId="0" borderId="0" xfId="4136" applyFont="1" applyFill="1"/>
    <xf numFmtId="43" fontId="14" fillId="0" borderId="0" xfId="26" applyFont="1" applyFill="1" applyAlignment="1">
      <alignment horizontal="center" vertical="center"/>
    </xf>
    <xf numFmtId="0" fontId="9" fillId="0" borderId="0" xfId="4136" applyFont="1" applyFill="1"/>
    <xf numFmtId="0" fontId="13" fillId="0" borderId="40" xfId="26" applyNumberFormat="1" applyFont="1" applyFill="1" applyBorder="1" applyAlignment="1">
      <alignment horizontal="centerContinuous" vertical="center" wrapText="1"/>
    </xf>
    <xf numFmtId="0" fontId="13" fillId="0" borderId="41" xfId="26" applyNumberFormat="1" applyFont="1" applyFill="1" applyBorder="1" applyAlignment="1">
      <alignment horizontal="centerContinuous" vertical="center" wrapText="1"/>
    </xf>
    <xf numFmtId="0" fontId="13" fillId="0" borderId="29" xfId="4136" applyNumberFormat="1" applyFont="1" applyFill="1" applyBorder="1" applyAlignment="1">
      <alignment horizontal="centerContinuous" vertical="center"/>
    </xf>
    <xf numFmtId="0" fontId="13" fillId="0" borderId="0" xfId="4136" applyFont="1" applyFill="1" applyAlignment="1">
      <alignment horizontal="center" vertical="center"/>
    </xf>
    <xf numFmtId="0" fontId="13" fillId="0" borderId="27" xfId="26" applyNumberFormat="1" applyFont="1" applyFill="1" applyBorder="1" applyAlignment="1">
      <alignment horizontal="center" vertical="center" wrapText="1"/>
    </xf>
    <xf numFmtId="0" fontId="6" fillId="0" borderId="29" xfId="26" applyNumberFormat="1" applyFont="1" applyFill="1" applyBorder="1" applyAlignment="1">
      <alignment horizontal="center" vertical="center"/>
    </xf>
    <xf numFmtId="165" fontId="6" fillId="0" borderId="29" xfId="26" applyNumberFormat="1" applyFont="1" applyFill="1" applyBorder="1" applyAlignment="1">
      <alignment horizontal="center" vertical="center"/>
    </xf>
    <xf numFmtId="165" fontId="6" fillId="0" borderId="29" xfId="26" applyNumberFormat="1" applyFont="1" applyFill="1" applyBorder="1" applyAlignment="1">
      <alignment horizontal="center" vertical="center" wrapText="1"/>
    </xf>
    <xf numFmtId="0" fontId="6" fillId="0" borderId="29" xfId="26" applyNumberFormat="1" applyFont="1" applyFill="1" applyBorder="1" applyAlignment="1">
      <alignment horizontal="center" vertical="center" wrapText="1"/>
    </xf>
    <xf numFmtId="183" fontId="6" fillId="0" borderId="29" xfId="26" applyNumberFormat="1" applyFont="1" applyFill="1" applyBorder="1" applyAlignment="1">
      <alignment horizontal="center" vertical="center" wrapText="1"/>
    </xf>
    <xf numFmtId="183" fontId="13" fillId="0" borderId="0" xfId="4136" applyNumberFormat="1" applyFont="1" applyFill="1" applyAlignment="1">
      <alignment horizontal="center" vertical="center"/>
    </xf>
    <xf numFmtId="0" fontId="6" fillId="0" borderId="0" xfId="4136" applyFont="1" applyFill="1" applyAlignment="1">
      <alignment horizontal="center" vertical="center"/>
    </xf>
    <xf numFmtId="2" fontId="13" fillId="0" borderId="0" xfId="4136" applyNumberFormat="1" applyFont="1" applyFill="1" applyAlignment="1">
      <alignment horizontal="center" vertical="center"/>
    </xf>
    <xf numFmtId="2" fontId="6" fillId="0" borderId="29" xfId="26" applyNumberFormat="1" applyFont="1" applyFill="1" applyBorder="1" applyAlignment="1">
      <alignment horizontal="center" vertical="center"/>
    </xf>
    <xf numFmtId="0" fontId="6" fillId="0" borderId="0" xfId="26" applyNumberFormat="1" applyFont="1" applyFill="1" applyBorder="1" applyAlignment="1">
      <alignment horizontal="center" vertical="center"/>
    </xf>
    <xf numFmtId="165" fontId="6" fillId="0" borderId="0" xfId="26" applyNumberFormat="1" applyFont="1" applyFill="1" applyBorder="1" applyAlignment="1">
      <alignment horizontal="center" vertical="center"/>
    </xf>
    <xf numFmtId="165" fontId="6" fillId="0" borderId="0" xfId="26" applyNumberFormat="1" applyFont="1" applyFill="1" applyBorder="1" applyAlignment="1">
      <alignment horizontal="center" vertical="center" wrapText="1"/>
    </xf>
    <xf numFmtId="0" fontId="6" fillId="0" borderId="0" xfId="26" applyNumberFormat="1" applyFont="1" applyFill="1" applyBorder="1" applyAlignment="1">
      <alignment horizontal="center" vertical="center" wrapText="1"/>
    </xf>
    <xf numFmtId="183" fontId="6" fillId="0" borderId="0" xfId="26" applyNumberFormat="1" applyFont="1" applyFill="1" applyBorder="1" applyAlignment="1">
      <alignment horizontal="center" vertical="center" wrapText="1"/>
    </xf>
    <xf numFmtId="0" fontId="13" fillId="0" borderId="0" xfId="26" applyNumberFormat="1" applyFont="1" applyFill="1" applyBorder="1" applyAlignment="1">
      <alignment vertical="center"/>
    </xf>
    <xf numFmtId="183" fontId="6" fillId="0" borderId="0" xfId="26" applyNumberFormat="1" applyFont="1" applyFill="1" applyBorder="1" applyAlignment="1">
      <alignment horizontal="center" vertical="center"/>
    </xf>
    <xf numFmtId="0" fontId="6" fillId="0" borderId="0" xfId="4136" applyFont="1" applyFill="1" applyAlignment="1">
      <alignment vertical="center"/>
    </xf>
    <xf numFmtId="43" fontId="6" fillId="0" borderId="0" xfId="26" quotePrefix="1" applyFont="1" applyFill="1" applyBorder="1" applyAlignment="1">
      <alignment horizontal="left" vertical="center"/>
    </xf>
    <xf numFmtId="183" fontId="6" fillId="0" borderId="0" xfId="26" applyNumberFormat="1" applyFont="1" applyFill="1" applyBorder="1" applyAlignment="1">
      <alignment vertical="center"/>
    </xf>
    <xf numFmtId="43" fontId="6" fillId="0" borderId="0" xfId="26" applyFont="1" applyFill="1" applyBorder="1" applyAlignment="1">
      <alignment horizontal="left" vertical="center"/>
    </xf>
    <xf numFmtId="167" fontId="6" fillId="0" borderId="0" xfId="26" applyNumberFormat="1" applyFont="1" applyFill="1" applyBorder="1"/>
    <xf numFmtId="0" fontId="14" fillId="0" borderId="0" xfId="51" applyFont="1" applyFill="1"/>
    <xf numFmtId="0" fontId="11" fillId="0" borderId="0" xfId="51" applyFont="1" applyFill="1" applyAlignment="1">
      <alignment horizontal="center"/>
    </xf>
    <xf numFmtId="0" fontId="11" fillId="0" borderId="0" xfId="51" applyFont="1" applyFill="1"/>
    <xf numFmtId="4" fontId="9" fillId="0" borderId="0" xfId="4136" applyNumberFormat="1" applyFont="1" applyFill="1" applyAlignment="1">
      <alignment horizontal="center"/>
    </xf>
    <xf numFmtId="0" fontId="11" fillId="6" borderId="0" xfId="69" applyFont="1" applyFill="1" applyAlignment="1">
      <alignment horizontal="center" vertical="center"/>
    </xf>
    <xf numFmtId="0" fontId="6" fillId="0" borderId="29" xfId="68" applyFont="1" applyFill="1" applyBorder="1" applyAlignment="1">
      <alignment horizontal="center" vertical="center"/>
    </xf>
    <xf numFmtId="0" fontId="13" fillId="0" borderId="27" xfId="26" applyNumberFormat="1" applyFont="1" applyFill="1" applyBorder="1" applyAlignment="1">
      <alignment horizontal="center" vertical="center" wrapText="1"/>
    </xf>
    <xf numFmtId="0" fontId="177" fillId="0" borderId="29" xfId="4960" applyFont="1" applyFill="1" applyBorder="1" applyAlignment="1">
      <alignment horizontal="center" vertical="center" wrapText="1"/>
    </xf>
    <xf numFmtId="0" fontId="31" fillId="0" borderId="29" xfId="4960" applyFont="1" applyFill="1" applyBorder="1" applyAlignment="1">
      <alignment vertical="center" wrapText="1"/>
    </xf>
    <xf numFmtId="0" fontId="30" fillId="0" borderId="29" xfId="4960" applyFont="1" applyFill="1" applyBorder="1" applyAlignment="1">
      <alignment horizontal="center" vertical="center" wrapText="1"/>
    </xf>
    <xf numFmtId="0" fontId="178" fillId="0" borderId="29" xfId="4960" applyFont="1" applyFill="1" applyBorder="1" applyAlignment="1">
      <alignment vertical="center" wrapText="1"/>
    </xf>
    <xf numFmtId="0" fontId="177" fillId="0" borderId="29" xfId="4960" applyFont="1" applyFill="1" applyBorder="1" applyAlignment="1">
      <alignment vertical="center" wrapText="1"/>
    </xf>
    <xf numFmtId="0" fontId="179" fillId="0" borderId="29" xfId="4960" applyFont="1" applyFill="1" applyBorder="1" applyAlignment="1">
      <alignment vertical="center" wrapText="1"/>
    </xf>
    <xf numFmtId="0" fontId="30" fillId="0" borderId="29" xfId="4960" applyFont="1" applyFill="1" applyBorder="1" applyAlignment="1">
      <alignment vertical="center" wrapText="1"/>
    </xf>
    <xf numFmtId="0" fontId="31" fillId="0" borderId="29" xfId="4960" applyFont="1" applyFill="1" applyBorder="1" applyAlignment="1">
      <alignment horizontal="center" vertical="center" wrapText="1"/>
    </xf>
    <xf numFmtId="0" fontId="178" fillId="0" borderId="29" xfId="4960" applyFont="1" applyFill="1" applyBorder="1" applyAlignment="1">
      <alignment horizontal="center" vertical="center" wrapText="1"/>
    </xf>
    <xf numFmtId="0" fontId="180" fillId="0" borderId="29" xfId="4960" applyFont="1" applyFill="1" applyBorder="1" applyAlignment="1">
      <alignment vertical="center" wrapText="1"/>
    </xf>
    <xf numFmtId="0" fontId="177" fillId="0" borderId="29" xfId="4961" applyFont="1" applyFill="1" applyBorder="1" applyAlignment="1">
      <alignment vertical="center" wrapText="1"/>
    </xf>
    <xf numFmtId="0" fontId="180" fillId="0" borderId="29" xfId="4960" applyFont="1" applyFill="1" applyBorder="1" applyAlignment="1">
      <alignment horizontal="center" vertical="center" wrapText="1"/>
    </xf>
    <xf numFmtId="0" fontId="180" fillId="0" borderId="29" xfId="4960" quotePrefix="1" applyFont="1" applyFill="1" applyBorder="1" applyAlignment="1">
      <alignment vertical="center" wrapText="1"/>
    </xf>
    <xf numFmtId="0" fontId="179" fillId="0" borderId="29" xfId="64" applyFont="1" applyFill="1" applyBorder="1" applyAlignment="1">
      <alignment horizontal="left" vertical="center" wrapText="1"/>
    </xf>
    <xf numFmtId="0" fontId="30" fillId="0" borderId="29" xfId="64" applyFont="1" applyFill="1" applyBorder="1" applyAlignment="1">
      <alignment horizontal="center" vertical="center"/>
    </xf>
    <xf numFmtId="0" fontId="177" fillId="0" borderId="29" xfId="64" applyFont="1" applyFill="1" applyBorder="1" applyAlignment="1">
      <alignment vertical="center" wrapText="1"/>
    </xf>
    <xf numFmtId="0" fontId="67" fillId="0" borderId="29" xfId="64" applyFont="1" applyFill="1" applyBorder="1" applyAlignment="1">
      <alignment vertical="center" wrapText="1"/>
    </xf>
    <xf numFmtId="0" fontId="67" fillId="0" borderId="29" xfId="64" applyFont="1" applyFill="1" applyBorder="1" applyAlignment="1">
      <alignment horizontal="center" vertical="center"/>
    </xf>
    <xf numFmtId="0" fontId="179" fillId="0" borderId="29" xfId="64" applyFont="1" applyFill="1" applyBorder="1" applyAlignment="1">
      <alignment vertical="center" wrapText="1"/>
    </xf>
    <xf numFmtId="0" fontId="184" fillId="0" borderId="0" xfId="4962" applyFont="1" applyFill="1" applyAlignment="1">
      <alignment vertical="center" wrapText="1"/>
    </xf>
    <xf numFmtId="0" fontId="175" fillId="0" borderId="0" xfId="4962" applyFont="1" applyFill="1" applyAlignment="1">
      <alignment vertical="center" wrapText="1"/>
    </xf>
    <xf numFmtId="0" fontId="185" fillId="0" borderId="0" xfId="4962" applyFont="1" applyAlignment="1">
      <alignment horizontal="justify"/>
    </xf>
    <xf numFmtId="3" fontId="184" fillId="0" borderId="0" xfId="4962" applyNumberFormat="1" applyFont="1" applyFill="1" applyAlignment="1">
      <alignment vertical="center" wrapText="1"/>
    </xf>
    <xf numFmtId="3" fontId="185" fillId="0" borderId="0" xfId="4962" applyNumberFormat="1" applyFont="1"/>
    <xf numFmtId="43" fontId="184" fillId="0" borderId="0" xfId="4962" applyNumberFormat="1" applyFont="1" applyFill="1" applyAlignment="1">
      <alignment vertical="center" wrapText="1"/>
    </xf>
    <xf numFmtId="43" fontId="184" fillId="0" borderId="0" xfId="4963" applyFont="1" applyFill="1" applyAlignment="1">
      <alignment vertical="center" wrapText="1"/>
    </xf>
    <xf numFmtId="166" fontId="184" fillId="0" borderId="0" xfId="4962" applyNumberFormat="1" applyFont="1" applyFill="1" applyAlignment="1">
      <alignment vertical="center" wrapText="1"/>
    </xf>
    <xf numFmtId="166" fontId="184" fillId="0" borderId="0" xfId="4963" applyNumberFormat="1" applyFont="1" applyFill="1" applyAlignment="1">
      <alignment vertical="center" wrapText="1"/>
    </xf>
    <xf numFmtId="10" fontId="189" fillId="0" borderId="29" xfId="4963" applyNumberFormat="1" applyFont="1" applyFill="1" applyBorder="1" applyAlignment="1">
      <alignment vertical="center" wrapText="1"/>
    </xf>
    <xf numFmtId="9" fontId="189" fillId="0" borderId="29" xfId="4963" applyNumberFormat="1" applyFont="1" applyFill="1" applyBorder="1" applyAlignment="1">
      <alignment vertical="center" wrapText="1"/>
    </xf>
    <xf numFmtId="0" fontId="30" fillId="0" borderId="29" xfId="4960" applyFont="1" applyFill="1" applyBorder="1" applyAlignment="1">
      <alignment horizontal="center" vertical="center"/>
    </xf>
    <xf numFmtId="3" fontId="185" fillId="0" borderId="0" xfId="4962" applyNumberFormat="1" applyFont="1" applyFill="1"/>
    <xf numFmtId="166" fontId="189" fillId="0" borderId="29" xfId="4963" applyNumberFormat="1" applyFont="1" applyFill="1" applyBorder="1" applyAlignment="1">
      <alignment vertical="center" wrapText="1"/>
    </xf>
    <xf numFmtId="166" fontId="175" fillId="0" borderId="29" xfId="4963" applyNumberFormat="1" applyFont="1" applyFill="1" applyBorder="1" applyAlignment="1">
      <alignment vertical="center" wrapText="1"/>
    </xf>
    <xf numFmtId="166" fontId="30" fillId="0" borderId="29" xfId="4963" applyNumberFormat="1" applyFont="1" applyFill="1" applyBorder="1" applyAlignment="1">
      <alignment horizontal="center" vertical="center"/>
    </xf>
    <xf numFmtId="166" fontId="176" fillId="0" borderId="29" xfId="4963" applyNumberFormat="1" applyFont="1" applyFill="1" applyBorder="1" applyAlignment="1">
      <alignment vertical="center" wrapText="1"/>
    </xf>
    <xf numFmtId="0" fontId="31" fillId="0" borderId="29" xfId="4960" applyFont="1" applyFill="1" applyBorder="1" applyAlignment="1">
      <alignment horizontal="center" vertical="center"/>
    </xf>
    <xf numFmtId="0" fontId="30" fillId="0" borderId="29" xfId="4962" applyFont="1" applyFill="1" applyBorder="1" applyAlignment="1">
      <alignment vertical="center"/>
    </xf>
    <xf numFmtId="0" fontId="175" fillId="0" borderId="29" xfId="4962" applyFont="1" applyFill="1" applyBorder="1" applyAlignment="1">
      <alignment vertical="center" wrapText="1"/>
    </xf>
    <xf numFmtId="174" fontId="175" fillId="0" borderId="29" xfId="4962" applyNumberFormat="1" applyFont="1" applyFill="1" applyBorder="1" applyAlignment="1">
      <alignment vertical="center" wrapText="1"/>
    </xf>
    <xf numFmtId="354" fontId="30" fillId="0" borderId="29" xfId="4963" applyNumberFormat="1" applyFont="1" applyFill="1" applyBorder="1" applyAlignment="1">
      <alignment horizontal="center" vertical="center"/>
    </xf>
    <xf numFmtId="4" fontId="30" fillId="0" borderId="29" xfId="4965" applyNumberFormat="1" applyFont="1" applyFill="1" applyBorder="1" applyAlignment="1">
      <alignment horizontal="left" vertical="center"/>
    </xf>
    <xf numFmtId="4" fontId="30" fillId="0" borderId="29" xfId="4965" applyNumberFormat="1" applyFont="1" applyFill="1" applyBorder="1" applyAlignment="1">
      <alignment horizontal="left" vertical="center" wrapText="1"/>
    </xf>
    <xf numFmtId="0" fontId="30" fillId="0" borderId="29" xfId="4964" applyNumberFormat="1" applyFont="1" applyFill="1" applyBorder="1" applyAlignment="1" applyProtection="1">
      <alignment vertical="center" wrapText="1"/>
      <protection locked="0"/>
    </xf>
    <xf numFmtId="0" fontId="30" fillId="0" borderId="29" xfId="4966" applyNumberFormat="1" applyFont="1" applyFill="1" applyBorder="1" applyAlignment="1" applyProtection="1">
      <alignment vertical="center" wrapText="1"/>
    </xf>
    <xf numFmtId="4" fontId="30" fillId="0" borderId="29" xfId="4964" applyNumberFormat="1" applyFont="1" applyFill="1" applyBorder="1" applyAlignment="1" applyProtection="1">
      <alignment vertical="center" wrapText="1"/>
      <protection locked="0"/>
    </xf>
    <xf numFmtId="44" fontId="30" fillId="0" borderId="29" xfId="4964" applyNumberFormat="1" applyFont="1" applyFill="1" applyBorder="1" applyAlignment="1" applyProtection="1">
      <alignment vertical="center" wrapText="1" readingOrder="1"/>
      <protection locked="0"/>
    </xf>
    <xf numFmtId="44" fontId="30" fillId="0" borderId="29" xfId="4964" applyNumberFormat="1" applyFont="1" applyFill="1" applyBorder="1" applyAlignment="1" applyProtection="1">
      <alignment vertical="center" wrapText="1"/>
      <protection locked="0"/>
    </xf>
    <xf numFmtId="49" fontId="30" fillId="0" borderId="29" xfId="4964" applyNumberFormat="1" applyFont="1" applyFill="1" applyBorder="1" applyAlignment="1" applyProtection="1">
      <alignment vertical="center" wrapText="1"/>
      <protection locked="0"/>
    </xf>
    <xf numFmtId="0" fontId="30" fillId="0" borderId="29" xfId="4962" applyFont="1" applyFill="1" applyBorder="1" applyAlignment="1">
      <alignment horizontal="center" vertical="center"/>
    </xf>
    <xf numFmtId="0" fontId="31" fillId="0" borderId="29" xfId="4964" applyNumberFormat="1" applyFont="1" applyFill="1" applyBorder="1" applyAlignment="1" applyProtection="1">
      <alignment horizontal="left" vertical="center" wrapText="1"/>
      <protection locked="0"/>
    </xf>
    <xf numFmtId="0" fontId="30" fillId="0" borderId="29" xfId="4962" applyFont="1" applyFill="1" applyBorder="1" applyAlignment="1">
      <alignment vertical="center" wrapText="1"/>
    </xf>
    <xf numFmtId="354" fontId="30" fillId="0" borderId="29" xfId="4963" applyNumberFormat="1" applyFont="1" applyFill="1" applyBorder="1" applyAlignment="1">
      <alignment vertical="center"/>
    </xf>
    <xf numFmtId="0" fontId="30" fillId="0" borderId="58" xfId="4964" applyFont="1" applyFill="1" applyBorder="1" applyAlignment="1" applyProtection="1">
      <alignment horizontal="center" vertical="center"/>
      <protection locked="0"/>
    </xf>
    <xf numFmtId="0" fontId="30" fillId="0" borderId="29" xfId="4967" applyNumberFormat="1" applyFont="1" applyFill="1" applyBorder="1" applyAlignment="1" applyProtection="1">
      <alignment vertical="center" wrapText="1"/>
      <protection locked="0"/>
    </xf>
    <xf numFmtId="0" fontId="30" fillId="0" borderId="58" xfId="4966" applyFont="1" applyFill="1" applyBorder="1" applyAlignment="1" applyProtection="1">
      <alignment horizontal="center" vertical="center"/>
    </xf>
    <xf numFmtId="4" fontId="30" fillId="0" borderId="58" xfId="4965" applyNumberFormat="1" applyFont="1" applyFill="1" applyBorder="1" applyAlignment="1">
      <alignment horizontal="center" vertical="center"/>
    </xf>
    <xf numFmtId="4" fontId="30" fillId="0" borderId="29" xfId="4967" applyNumberFormat="1" applyFont="1" applyFill="1" applyBorder="1" applyAlignment="1" applyProtection="1">
      <alignment vertical="center" wrapText="1"/>
      <protection locked="0"/>
    </xf>
    <xf numFmtId="44" fontId="30" fillId="0" borderId="29" xfId="4967" applyNumberFormat="1" applyFont="1" applyFill="1" applyBorder="1" applyAlignment="1" applyProtection="1">
      <alignment vertical="center" wrapText="1" readingOrder="1"/>
      <protection locked="0"/>
    </xf>
    <xf numFmtId="44" fontId="30" fillId="0" borderId="29" xfId="4967" applyNumberFormat="1" applyFont="1" applyFill="1" applyBorder="1" applyAlignment="1" applyProtection="1">
      <alignment vertical="center" wrapText="1"/>
      <protection locked="0"/>
    </xf>
    <xf numFmtId="49" fontId="30" fillId="0" borderId="29" xfId="4967" applyNumberFormat="1" applyFont="1" applyFill="1" applyBorder="1" applyAlignment="1" applyProtection="1">
      <alignment vertical="center" wrapText="1"/>
      <protection locked="0"/>
    </xf>
    <xf numFmtId="0" fontId="31" fillId="0" borderId="29" xfId="4967" applyNumberFormat="1" applyFont="1" applyFill="1" applyBorder="1" applyAlignment="1" applyProtection="1">
      <alignment horizontal="left" vertical="center" wrapText="1"/>
      <protection locked="0"/>
    </xf>
    <xf numFmtId="3" fontId="192" fillId="0" borderId="29" xfId="64" applyNumberFormat="1" applyFont="1" applyFill="1" applyBorder="1" applyAlignment="1">
      <alignment horizontal="center" vertical="center"/>
    </xf>
    <xf numFmtId="0" fontId="177" fillId="0" borderId="29" xfId="4962" applyFont="1" applyFill="1" applyBorder="1" applyAlignment="1">
      <alignment vertical="center" wrapText="1"/>
    </xf>
    <xf numFmtId="0" fontId="179" fillId="0" borderId="29" xfId="4962" applyFont="1" applyFill="1" applyBorder="1" applyAlignment="1">
      <alignment horizontal="justify" vertical="center" wrapText="1"/>
    </xf>
    <xf numFmtId="0" fontId="182" fillId="0" borderId="29" xfId="4962" applyFont="1" applyFill="1" applyBorder="1" applyAlignment="1">
      <alignment horizontal="center" vertical="center"/>
    </xf>
    <xf numFmtId="0" fontId="181" fillId="0" borderId="29" xfId="4960" applyFont="1" applyFill="1" applyBorder="1" applyAlignment="1">
      <alignment horizontal="center" vertical="center" wrapText="1"/>
    </xf>
    <xf numFmtId="0" fontId="177" fillId="0" borderId="29" xfId="4962" applyFont="1" applyFill="1" applyBorder="1" applyAlignment="1">
      <alignment horizontal="center" vertical="center" wrapText="1"/>
    </xf>
    <xf numFmtId="0" fontId="181" fillId="0" borderId="29" xfId="4962" applyFont="1" applyFill="1" applyBorder="1" applyAlignment="1">
      <alignment horizontal="center" vertical="center" wrapText="1"/>
    </xf>
    <xf numFmtId="0" fontId="30" fillId="0" borderId="29" xfId="4962" applyFont="1" applyFill="1" applyBorder="1" applyAlignment="1">
      <alignment horizontal="center" vertical="center" wrapText="1"/>
    </xf>
    <xf numFmtId="0" fontId="31" fillId="0" borderId="29" xfId="4962" applyFont="1" applyFill="1" applyBorder="1" applyAlignment="1">
      <alignment horizontal="center" vertical="center"/>
    </xf>
    <xf numFmtId="0" fontId="177" fillId="0" borderId="29" xfId="4962" applyFont="1" applyFill="1" applyBorder="1" applyAlignment="1">
      <alignment horizontal="center" vertical="center"/>
    </xf>
    <xf numFmtId="165" fontId="30" fillId="0" borderId="29" xfId="4962" applyNumberFormat="1" applyFont="1" applyFill="1" applyBorder="1" applyAlignment="1">
      <alignment vertical="center"/>
    </xf>
    <xf numFmtId="167" fontId="177" fillId="0" borderId="29" xfId="4963" applyNumberFormat="1" applyFont="1" applyFill="1" applyBorder="1" applyAlignment="1">
      <alignment horizontal="right" vertical="center" wrapText="1"/>
    </xf>
    <xf numFmtId="166" fontId="176" fillId="0" borderId="29" xfId="4962" applyNumberFormat="1" applyFont="1" applyFill="1" applyBorder="1" applyAlignment="1">
      <alignment vertical="center" wrapText="1"/>
    </xf>
    <xf numFmtId="0" fontId="176" fillId="0" borderId="29" xfId="4962" applyFont="1" applyFill="1" applyBorder="1" applyAlignment="1">
      <alignment vertical="center" wrapText="1"/>
    </xf>
    <xf numFmtId="0" fontId="176" fillId="0" borderId="29" xfId="4962" applyFont="1" applyFill="1" applyBorder="1" applyAlignment="1">
      <alignment horizontal="center" vertical="center" wrapText="1"/>
    </xf>
    <xf numFmtId="0" fontId="31" fillId="0" borderId="41" xfId="4962" applyFont="1" applyFill="1" applyBorder="1" applyAlignment="1">
      <alignment vertical="center"/>
    </xf>
    <xf numFmtId="0" fontId="31" fillId="0" borderId="39" xfId="4962" applyFont="1" applyFill="1" applyBorder="1" applyAlignment="1">
      <alignment vertical="center"/>
    </xf>
    <xf numFmtId="0" fontId="31" fillId="0" borderId="40" xfId="4962" applyFont="1" applyFill="1" applyBorder="1" applyAlignment="1">
      <alignment vertical="center"/>
    </xf>
    <xf numFmtId="166" fontId="30" fillId="0" borderId="29" xfId="4963" applyNumberFormat="1" applyFont="1" applyFill="1" applyBorder="1" applyAlignment="1">
      <alignment vertical="center"/>
    </xf>
    <xf numFmtId="167" fontId="175" fillId="0" borderId="29" xfId="4963" applyNumberFormat="1" applyFont="1" applyFill="1" applyBorder="1" applyAlignment="1">
      <alignment vertical="center" wrapText="1"/>
    </xf>
    <xf numFmtId="0" fontId="184" fillId="0" borderId="29" xfId="4962" applyFont="1" applyFill="1" applyBorder="1" applyAlignment="1">
      <alignment vertical="center" wrapText="1"/>
    </xf>
    <xf numFmtId="10" fontId="184" fillId="0" borderId="29" xfId="4962" applyNumberFormat="1" applyFont="1" applyFill="1" applyBorder="1" applyAlignment="1">
      <alignment vertical="center" wrapText="1"/>
    </xf>
    <xf numFmtId="0" fontId="184" fillId="0" borderId="29" xfId="4962" applyFont="1" applyFill="1" applyBorder="1" applyAlignment="1">
      <alignment horizontal="center" vertical="center" wrapText="1"/>
    </xf>
    <xf numFmtId="0" fontId="175" fillId="0" borderId="29" xfId="4962" applyFont="1" applyFill="1" applyBorder="1" applyAlignment="1">
      <alignment horizontal="center" vertical="center" wrapText="1"/>
    </xf>
    <xf numFmtId="0" fontId="189" fillId="0" borderId="29" xfId="4962" applyFont="1" applyFill="1" applyBorder="1" applyAlignment="1">
      <alignment horizontal="center" vertical="center" wrapText="1"/>
    </xf>
    <xf numFmtId="0" fontId="189" fillId="0" borderId="0" xfId="4962" applyFont="1" applyFill="1" applyAlignment="1">
      <alignment horizontal="center" vertical="center" wrapText="1"/>
    </xf>
    <xf numFmtId="0" fontId="176" fillId="0" borderId="0" xfId="4962" applyFont="1" applyFill="1" applyAlignment="1">
      <alignment horizontal="center" vertical="center" wrapText="1"/>
    </xf>
    <xf numFmtId="0" fontId="12" fillId="0" borderId="0" xfId="4136" applyFont="1" applyFill="1" applyAlignment="1">
      <alignment horizontal="center" vertical="center"/>
    </xf>
    <xf numFmtId="0" fontId="13" fillId="0" borderId="27" xfId="26" applyNumberFormat="1" applyFont="1" applyFill="1" applyBorder="1" applyAlignment="1">
      <alignment horizontal="center" vertical="center" wrapText="1"/>
    </xf>
    <xf numFmtId="0" fontId="6" fillId="0" borderId="0" xfId="68" applyFont="1" applyFill="1" applyBorder="1" applyAlignment="1">
      <alignment horizontal="center" vertical="center"/>
    </xf>
    <xf numFmtId="0" fontId="68" fillId="0" borderId="0" xfId="68" applyFont="1" applyFill="1" applyBorder="1" applyAlignment="1">
      <alignment horizontal="center" vertical="center"/>
    </xf>
    <xf numFmtId="165" fontId="6" fillId="6" borderId="29" xfId="26" applyNumberFormat="1" applyFont="1" applyFill="1" applyBorder="1" applyAlignment="1">
      <alignment horizontal="center" vertical="center" wrapText="1"/>
    </xf>
    <xf numFmtId="0" fontId="6" fillId="6" borderId="29" xfId="26" applyNumberFormat="1" applyFont="1" applyFill="1" applyBorder="1" applyAlignment="1">
      <alignment horizontal="center" vertical="center"/>
    </xf>
    <xf numFmtId="0" fontId="12" fillId="6" borderId="0" xfId="4136" applyFont="1" applyFill="1" applyAlignment="1">
      <alignment horizontal="centerContinuous" vertical="center"/>
    </xf>
    <xf numFmtId="43" fontId="14" fillId="6" borderId="0" xfId="26" applyFont="1" applyFill="1" applyAlignment="1">
      <alignment horizontal="center" vertical="center"/>
    </xf>
    <xf numFmtId="0" fontId="13" fillId="6" borderId="59" xfId="26" applyNumberFormat="1" applyFont="1" applyFill="1" applyBorder="1" applyAlignment="1">
      <alignment horizontal="center" vertical="center" wrapText="1"/>
    </xf>
    <xf numFmtId="0" fontId="13" fillId="6" borderId="27" xfId="26" applyNumberFormat="1" applyFont="1" applyFill="1" applyBorder="1" applyAlignment="1">
      <alignment horizontal="center" vertical="center" wrapText="1"/>
    </xf>
    <xf numFmtId="0" fontId="6" fillId="6" borderId="0" xfId="26" applyNumberFormat="1" applyFont="1" applyFill="1" applyBorder="1" applyAlignment="1">
      <alignment horizontal="center" vertical="center"/>
    </xf>
    <xf numFmtId="0" fontId="14" fillId="6" borderId="0" xfId="51" applyFont="1" applyFill="1"/>
    <xf numFmtId="0" fontId="11" fillId="6" borderId="0" xfId="51" applyFont="1" applyFill="1" applyAlignment="1">
      <alignment horizontal="center"/>
    </xf>
    <xf numFmtId="0" fontId="12" fillId="6" borderId="0" xfId="4136" applyFont="1" applyFill="1" applyAlignment="1">
      <alignment horizontal="center" vertical="center"/>
    </xf>
    <xf numFmtId="0" fontId="13" fillId="6" borderId="41" xfId="26" applyNumberFormat="1" applyFont="1" applyFill="1" applyBorder="1" applyAlignment="1">
      <alignment horizontal="centerContinuous" vertical="center" wrapText="1"/>
    </xf>
    <xf numFmtId="183" fontId="6" fillId="6" borderId="0" xfId="26" applyNumberFormat="1" applyFont="1" applyFill="1" applyBorder="1" applyAlignment="1">
      <alignment horizontal="center" vertical="center"/>
    </xf>
    <xf numFmtId="183" fontId="6" fillId="6" borderId="0" xfId="26" applyNumberFormat="1" applyFont="1" applyFill="1" applyBorder="1" applyAlignment="1">
      <alignment vertical="center"/>
    </xf>
    <xf numFmtId="0" fontId="13" fillId="6" borderId="0" xfId="4136" applyFont="1" applyFill="1" applyBorder="1" applyAlignment="1">
      <alignment horizontal="center" vertical="center"/>
    </xf>
    <xf numFmtId="0" fontId="6" fillId="6" borderId="29" xfId="68" applyFont="1" applyFill="1" applyBorder="1" applyAlignment="1">
      <alignment horizontal="center" vertical="center"/>
    </xf>
    <xf numFmtId="0" fontId="68" fillId="6" borderId="29" xfId="68" applyFont="1" applyFill="1" applyBorder="1" applyAlignment="1">
      <alignment horizontal="center" vertical="center"/>
    </xf>
    <xf numFmtId="165" fontId="6" fillId="6" borderId="29" xfId="26" applyNumberFormat="1" applyFont="1" applyFill="1" applyBorder="1" applyAlignment="1">
      <alignment horizontal="center" vertical="center"/>
    </xf>
    <xf numFmtId="0" fontId="6" fillId="6" borderId="29" xfId="26" applyNumberFormat="1" applyFont="1" applyFill="1" applyBorder="1" applyAlignment="1">
      <alignment horizontal="center" vertical="center" wrapText="1"/>
    </xf>
    <xf numFmtId="183" fontId="6" fillId="6" borderId="29" xfId="26" applyNumberFormat="1" applyFont="1" applyFill="1" applyBorder="1" applyAlignment="1">
      <alignment horizontal="center" vertical="center" wrapText="1"/>
    </xf>
    <xf numFmtId="0" fontId="13" fillId="6" borderId="0" xfId="4136" applyFont="1" applyFill="1" applyAlignment="1">
      <alignment horizontal="center" vertical="center"/>
    </xf>
    <xf numFmtId="0" fontId="69" fillId="0" borderId="0" xfId="4090" applyFont="1" applyFill="1" applyAlignment="1">
      <alignment horizontal="center"/>
    </xf>
    <xf numFmtId="0" fontId="6" fillId="0" borderId="0" xfId="4090" applyFont="1" applyFill="1" applyAlignment="1">
      <alignment horizontal="center"/>
    </xf>
    <xf numFmtId="0" fontId="31" fillId="0" borderId="0" xfId="4090" applyFont="1" applyFill="1" applyBorder="1" applyAlignment="1">
      <alignment horizontal="center" wrapText="1"/>
    </xf>
    <xf numFmtId="0" fontId="13" fillId="0" borderId="0" xfId="4090" applyFont="1" applyFill="1" applyBorder="1" applyAlignment="1">
      <alignment horizontal="center" wrapText="1"/>
    </xf>
    <xf numFmtId="0" fontId="13" fillId="0" borderId="29" xfId="4090" applyFont="1" applyFill="1" applyBorder="1" applyAlignment="1">
      <alignment horizontal="center"/>
    </xf>
    <xf numFmtId="0" fontId="13" fillId="0" borderId="40" xfId="4090" applyFont="1" applyFill="1" applyBorder="1" applyAlignment="1">
      <alignment horizontal="center"/>
    </xf>
    <xf numFmtId="0" fontId="6" fillId="0" borderId="29" xfId="4090" applyFont="1" applyFill="1" applyBorder="1" applyAlignment="1">
      <alignment horizontal="center"/>
    </xf>
    <xf numFmtId="2" fontId="6" fillId="0" borderId="29" xfId="4090" applyNumberFormat="1" applyFont="1" applyFill="1" applyBorder="1" applyAlignment="1">
      <alignment horizontal="center"/>
    </xf>
    <xf numFmtId="172" fontId="6" fillId="0" borderId="29" xfId="3869" applyNumberFormat="1" applyFont="1" applyFill="1" applyBorder="1" applyAlignment="1">
      <alignment horizontal="center"/>
    </xf>
    <xf numFmtId="4" fontId="6" fillId="0" borderId="29" xfId="3869" applyNumberFormat="1" applyFont="1" applyFill="1" applyBorder="1" applyAlignment="1">
      <alignment horizontal="center"/>
    </xf>
    <xf numFmtId="4" fontId="13" fillId="0" borderId="29" xfId="3869" applyNumberFormat="1" applyFont="1" applyFill="1" applyBorder="1" applyAlignment="1">
      <alignment horizontal="center"/>
    </xf>
    <xf numFmtId="1" fontId="6" fillId="0" borderId="9" xfId="3869" applyNumberFormat="1" applyFont="1" applyFill="1" applyBorder="1" applyAlignment="1">
      <alignment horizontal="center"/>
    </xf>
    <xf numFmtId="4" fontId="6" fillId="0" borderId="0" xfId="4090" applyNumberFormat="1" applyFont="1" applyFill="1" applyAlignment="1">
      <alignment horizontal="center"/>
    </xf>
    <xf numFmtId="1" fontId="6" fillId="0" borderId="0" xfId="4090" applyNumberFormat="1" applyFont="1" applyFill="1" applyAlignment="1">
      <alignment horizontal="center"/>
    </xf>
    <xf numFmtId="0" fontId="13" fillId="0" borderId="29" xfId="4090" applyFont="1" applyFill="1" applyBorder="1" applyAlignment="1">
      <alignment horizontal="center" vertical="center"/>
    </xf>
    <xf numFmtId="172" fontId="13" fillId="0" borderId="29" xfId="3869" applyNumberFormat="1" applyFont="1" applyFill="1" applyBorder="1" applyAlignment="1">
      <alignment horizontal="center" vertical="center"/>
    </xf>
    <xf numFmtId="0" fontId="6" fillId="0" borderId="0" xfId="4090" applyFont="1" applyFill="1" applyAlignment="1">
      <alignment horizontal="center" vertical="center"/>
    </xf>
    <xf numFmtId="43" fontId="13" fillId="0" borderId="0" xfId="4090" applyNumberFormat="1" applyFont="1" applyFill="1" applyAlignment="1">
      <alignment horizontal="center"/>
    </xf>
    <xf numFmtId="0" fontId="6" fillId="0" borderId="29" xfId="4090" applyFont="1" applyFill="1" applyBorder="1" applyAlignment="1">
      <alignment horizontal="center" vertical="center"/>
    </xf>
    <xf numFmtId="166" fontId="6" fillId="0" borderId="0" xfId="3869" applyNumberFormat="1" applyFont="1" applyFill="1" applyAlignment="1">
      <alignment horizontal="center" vertical="center"/>
    </xf>
    <xf numFmtId="166" fontId="6" fillId="0" borderId="0" xfId="3869" applyNumberFormat="1" applyFont="1" applyFill="1" applyAlignment="1">
      <alignment horizontal="center"/>
    </xf>
    <xf numFmtId="0" fontId="65" fillId="0" borderId="0" xfId="75" applyFont="1"/>
    <xf numFmtId="0" fontId="11" fillId="0" borderId="0" xfId="51" applyFont="1" applyFill="1" applyAlignment="1">
      <alignment horizontal="center" vertical="center"/>
    </xf>
    <xf numFmtId="172" fontId="65" fillId="0" borderId="0" xfId="75" applyNumberFormat="1" applyFont="1" applyFill="1"/>
    <xf numFmtId="43" fontId="6" fillId="0" borderId="0" xfId="3869" applyNumberFormat="1" applyFont="1" applyFill="1" applyAlignment="1">
      <alignment horizontal="center"/>
    </xf>
    <xf numFmtId="43" fontId="6" fillId="0" borderId="0" xfId="4090" applyNumberFormat="1" applyFont="1" applyFill="1" applyAlignment="1">
      <alignment horizontal="center"/>
    </xf>
    <xf numFmtId="0" fontId="173" fillId="0" borderId="0" xfId="4121" applyFont="1" applyFill="1" applyAlignment="1">
      <alignment horizontal="center"/>
    </xf>
    <xf numFmtId="0" fontId="173" fillId="0" borderId="0" xfId="4121" applyFont="1" applyFill="1" applyAlignment="1">
      <alignment horizontal="centerContinuous"/>
    </xf>
    <xf numFmtId="16" fontId="6" fillId="0" borderId="29" xfId="4090" quotePrefix="1" applyNumberFormat="1" applyFont="1" applyFill="1" applyBorder="1" applyAlignment="1">
      <alignment horizontal="center"/>
    </xf>
    <xf numFmtId="0" fontId="6" fillId="0" borderId="29" xfId="4090" quotePrefix="1" applyFont="1" applyFill="1" applyBorder="1" applyAlignment="1">
      <alignment horizontal="center"/>
    </xf>
    <xf numFmtId="0" fontId="6" fillId="0" borderId="0" xfId="4090" applyFont="1" applyFill="1" applyBorder="1" applyAlignment="1">
      <alignment horizontal="center" vertical="center"/>
    </xf>
    <xf numFmtId="0" fontId="13" fillId="0" borderId="0" xfId="4090" applyFont="1" applyFill="1" applyBorder="1" applyAlignment="1">
      <alignment horizontal="center" vertical="center"/>
    </xf>
    <xf numFmtId="172" fontId="13" fillId="0" borderId="0" xfId="3869" applyNumberFormat="1" applyFont="1" applyFill="1" applyBorder="1" applyAlignment="1">
      <alignment horizontal="center" vertical="center"/>
    </xf>
    <xf numFmtId="0" fontId="13" fillId="0" borderId="27" xfId="26" applyNumberFormat="1" applyFont="1" applyFill="1" applyBorder="1" applyAlignment="1">
      <alignment horizontal="center" vertical="center" wrapText="1"/>
    </xf>
    <xf numFmtId="0" fontId="43" fillId="0" borderId="29" xfId="26" applyNumberFormat="1" applyFont="1" applyFill="1" applyBorder="1" applyAlignment="1">
      <alignment horizontal="center" vertical="center"/>
    </xf>
    <xf numFmtId="165" fontId="43" fillId="0" borderId="29" xfId="26" applyNumberFormat="1" applyFont="1" applyFill="1" applyBorder="1" applyAlignment="1">
      <alignment horizontal="center" vertical="center" wrapText="1"/>
    </xf>
    <xf numFmtId="0" fontId="11" fillId="0" borderId="0" xfId="0" applyFont="1" applyAlignment="1">
      <alignment horizontal="center"/>
    </xf>
    <xf numFmtId="0" fontId="11" fillId="0" borderId="0" xfId="0" applyFont="1" applyAlignment="1">
      <alignment horizontal="center" vertical="center"/>
    </xf>
    <xf numFmtId="0" fontId="13" fillId="0" borderId="27" xfId="26" applyNumberFormat="1" applyFont="1" applyFill="1" applyBorder="1" applyAlignment="1">
      <alignment horizontal="center" vertical="center" wrapText="1"/>
    </xf>
    <xf numFmtId="0" fontId="14" fillId="0" borderId="29" xfId="4962" applyFont="1" applyFill="1" applyBorder="1" applyAlignment="1">
      <alignment horizontal="center" vertical="center"/>
    </xf>
    <xf numFmtId="167" fontId="14" fillId="0" borderId="29" xfId="74" applyNumberFormat="1" applyFont="1" applyFill="1" applyBorder="1" applyAlignment="1">
      <alignment horizontal="right" vertical="center" shrinkToFit="1"/>
    </xf>
    <xf numFmtId="167" fontId="14" fillId="0" borderId="29" xfId="69" applyNumberFormat="1" applyFont="1" applyFill="1" applyBorder="1" applyAlignment="1">
      <alignment vertical="center"/>
    </xf>
    <xf numFmtId="167" fontId="11" fillId="0" borderId="29" xfId="69" applyNumberFormat="1" applyFont="1" applyFill="1" applyBorder="1" applyAlignment="1">
      <alignment horizontal="center" vertical="center" wrapText="1"/>
    </xf>
    <xf numFmtId="167" fontId="11" fillId="0" borderId="29" xfId="69" applyNumberFormat="1" applyFont="1" applyFill="1" applyBorder="1" applyAlignment="1">
      <alignment horizontal="center" vertical="center"/>
    </xf>
    <xf numFmtId="167" fontId="14" fillId="0" borderId="29" xfId="69" applyNumberFormat="1" applyFont="1" applyFill="1" applyBorder="1" applyAlignment="1">
      <alignment horizontal="center" vertical="center"/>
    </xf>
    <xf numFmtId="0" fontId="14" fillId="0" borderId="29" xfId="4960" applyFont="1" applyFill="1" applyBorder="1" applyAlignment="1">
      <alignment horizontal="center" vertical="center" wrapText="1"/>
    </xf>
    <xf numFmtId="0" fontId="13" fillId="0" borderId="27" xfId="26" applyNumberFormat="1" applyFont="1" applyFill="1" applyBorder="1" applyAlignment="1">
      <alignment horizontal="center" vertical="center" wrapText="1"/>
    </xf>
    <xf numFmtId="0" fontId="0" fillId="0" borderId="29" xfId="0" applyFill="1" applyBorder="1" applyAlignment="1">
      <alignment horizontal="center"/>
    </xf>
    <xf numFmtId="0" fontId="0" fillId="0" borderId="29" xfId="0" applyFill="1" applyBorder="1" applyAlignment="1">
      <alignment horizontal="center" vertical="center"/>
    </xf>
    <xf numFmtId="0" fontId="13" fillId="0" borderId="0" xfId="0" applyFont="1" applyAlignment="1">
      <alignment horizontal="center" vertical="center" wrapText="1"/>
    </xf>
    <xf numFmtId="0" fontId="13" fillId="0" borderId="27" xfId="26" applyNumberFormat="1" applyFont="1" applyFill="1" applyBorder="1" applyAlignment="1">
      <alignment horizontal="center" vertical="center" wrapText="1"/>
    </xf>
    <xf numFmtId="0" fontId="13" fillId="0" borderId="26" xfId="26" applyNumberFormat="1" applyFont="1" applyFill="1" applyBorder="1" applyAlignment="1">
      <alignment vertical="center" textRotation="90" wrapText="1"/>
    </xf>
    <xf numFmtId="0" fontId="13" fillId="0" borderId="28" xfId="26" applyNumberFormat="1" applyFont="1" applyFill="1" applyBorder="1" applyAlignment="1">
      <alignment vertical="center" textRotation="90" wrapText="1"/>
    </xf>
    <xf numFmtId="0" fontId="13" fillId="0" borderId="27" xfId="26" applyNumberFormat="1" applyFont="1" applyFill="1" applyBorder="1" applyAlignment="1">
      <alignment vertical="center" textRotation="90" wrapText="1"/>
    </xf>
    <xf numFmtId="0" fontId="14" fillId="0" borderId="0" xfId="69" applyFont="1" applyFill="1" applyAlignment="1">
      <alignment vertical="center"/>
    </xf>
    <xf numFmtId="166" fontId="14" fillId="0" borderId="0" xfId="70" applyNumberFormat="1" applyFont="1" applyFill="1" applyAlignment="1">
      <alignment vertical="center"/>
    </xf>
    <xf numFmtId="167" fontId="11" fillId="0" borderId="29" xfId="69" applyNumberFormat="1" applyFont="1" applyFill="1" applyBorder="1" applyAlignment="1">
      <alignment vertical="center"/>
    </xf>
    <xf numFmtId="167" fontId="14" fillId="0" borderId="0" xfId="70" applyNumberFormat="1" applyFont="1" applyFill="1" applyAlignment="1">
      <alignment vertical="center"/>
    </xf>
    <xf numFmtId="0" fontId="14" fillId="0" borderId="29" xfId="69" applyFont="1" applyFill="1" applyBorder="1" applyAlignment="1">
      <alignment vertical="center" wrapText="1"/>
    </xf>
    <xf numFmtId="49" fontId="14" fillId="0" borderId="29" xfId="1" applyNumberFormat="1" applyFont="1" applyFill="1" applyBorder="1" applyAlignment="1">
      <alignment horizontal="center" vertical="center" wrapText="1"/>
    </xf>
    <xf numFmtId="0" fontId="173" fillId="0" borderId="29" xfId="4960" applyFont="1" applyFill="1" applyBorder="1" applyAlignment="1">
      <alignment vertical="center" wrapText="1"/>
    </xf>
    <xf numFmtId="0" fontId="14" fillId="0" borderId="29" xfId="4960" applyFont="1" applyFill="1" applyBorder="1" applyAlignment="1">
      <alignment vertical="center" wrapText="1"/>
    </xf>
    <xf numFmtId="0" fontId="14" fillId="0" borderId="29" xfId="69" applyFont="1" applyFill="1" applyBorder="1" applyAlignment="1">
      <alignment horizontal="center" vertical="center"/>
    </xf>
    <xf numFmtId="0" fontId="14" fillId="0" borderId="29" xfId="69" applyFont="1" applyFill="1" applyBorder="1" applyAlignment="1">
      <alignment vertical="center"/>
    </xf>
    <xf numFmtId="0" fontId="11" fillId="0" borderId="29" xfId="4960" applyFont="1" applyFill="1" applyBorder="1" applyAlignment="1">
      <alignment horizontal="center" vertical="center" wrapText="1"/>
    </xf>
    <xf numFmtId="0" fontId="14" fillId="0" borderId="29" xfId="69" applyFont="1" applyFill="1" applyBorder="1" applyAlignment="1">
      <alignment horizontal="center" vertical="center" wrapText="1"/>
    </xf>
    <xf numFmtId="167" fontId="14" fillId="0" borderId="29" xfId="69" applyNumberFormat="1" applyFont="1" applyFill="1" applyBorder="1" applyAlignment="1">
      <alignment horizontal="center" vertical="center" wrapText="1"/>
    </xf>
    <xf numFmtId="167" fontId="14" fillId="0" borderId="29" xfId="69" quotePrefix="1" applyNumberFormat="1" applyFont="1" applyFill="1" applyBorder="1" applyAlignment="1">
      <alignment horizontal="center" vertical="center" wrapText="1"/>
    </xf>
    <xf numFmtId="0" fontId="14" fillId="0" borderId="29" xfId="0" applyFont="1" applyFill="1" applyBorder="1" applyAlignment="1">
      <alignment horizontal="center" wrapText="1"/>
    </xf>
    <xf numFmtId="0" fontId="14" fillId="0" borderId="29" xfId="4960" applyFont="1" applyFill="1" applyBorder="1" applyAlignment="1">
      <alignment horizontal="right" vertical="center" wrapText="1"/>
    </xf>
    <xf numFmtId="174" fontId="14" fillId="0" borderId="29" xfId="69" applyNumberFormat="1" applyFont="1" applyFill="1" applyBorder="1" applyAlignment="1">
      <alignment horizontal="center" vertical="center"/>
    </xf>
    <xf numFmtId="0" fontId="219" fillId="0" borderId="29" xfId="4962" applyFont="1" applyFill="1" applyBorder="1" applyAlignment="1">
      <alignment horizontal="center" vertical="center"/>
    </xf>
    <xf numFmtId="0" fontId="13" fillId="0" borderId="27" xfId="26" applyNumberFormat="1" applyFont="1" applyFill="1" applyBorder="1" applyAlignment="1">
      <alignment horizontal="center" vertical="center" wrapText="1"/>
    </xf>
    <xf numFmtId="0" fontId="6" fillId="0" borderId="0" xfId="0" applyFont="1"/>
    <xf numFmtId="165" fontId="14" fillId="0" borderId="29" xfId="69" applyNumberFormat="1" applyFont="1" applyFill="1" applyBorder="1" applyAlignment="1">
      <alignment vertical="center"/>
    </xf>
    <xf numFmtId="0" fontId="13" fillId="0" borderId="27" xfId="26" applyNumberFormat="1" applyFont="1" applyFill="1" applyBorder="1" applyAlignment="1">
      <alignment horizontal="center" vertical="center" wrapText="1"/>
    </xf>
    <xf numFmtId="0" fontId="13" fillId="0" borderId="27" xfId="26" applyNumberFormat="1" applyFont="1" applyFill="1" applyBorder="1" applyAlignment="1">
      <alignment horizontal="center" vertical="center" wrapText="1"/>
    </xf>
    <xf numFmtId="0" fontId="14" fillId="0" borderId="29" xfId="4961" applyFont="1" applyFill="1" applyBorder="1" applyAlignment="1">
      <alignment vertical="center" wrapText="1"/>
    </xf>
    <xf numFmtId="0" fontId="173" fillId="0" borderId="29" xfId="4960" applyFont="1" applyFill="1" applyBorder="1" applyAlignment="1">
      <alignment horizontal="center" vertical="center" wrapText="1"/>
    </xf>
    <xf numFmtId="0" fontId="14" fillId="0" borderId="0" xfId="0" applyFont="1" applyAlignment="1">
      <alignment horizontal="center"/>
    </xf>
    <xf numFmtId="0" fontId="11" fillId="0" borderId="29" xfId="0" applyFont="1" applyBorder="1" applyAlignment="1">
      <alignment horizontal="center" vertical="center"/>
    </xf>
    <xf numFmtId="0" fontId="14" fillId="0" borderId="29" xfId="0" applyFont="1" applyBorder="1" applyAlignment="1">
      <alignment horizontal="center"/>
    </xf>
    <xf numFmtId="0" fontId="13" fillId="0" borderId="27" xfId="26" applyNumberFormat="1" applyFont="1" applyFill="1" applyBorder="1" applyAlignment="1">
      <alignment horizontal="center" vertical="center" wrapText="1"/>
    </xf>
    <xf numFmtId="0" fontId="14" fillId="0" borderId="29" xfId="0" applyFont="1" applyBorder="1" applyAlignment="1">
      <alignment horizontal="center" wrapText="1"/>
    </xf>
    <xf numFmtId="0" fontId="14" fillId="0" borderId="0" xfId="0" applyFont="1" applyFill="1" applyAlignment="1">
      <alignment horizontal="center"/>
    </xf>
    <xf numFmtId="0" fontId="14" fillId="0" borderId="29" xfId="0" applyFont="1" applyBorder="1" applyAlignment="1">
      <alignment horizontal="center" vertical="center" wrapText="1"/>
    </xf>
    <xf numFmtId="165" fontId="14" fillId="0" borderId="29" xfId="0" applyNumberFormat="1" applyFont="1" applyFill="1" applyBorder="1" applyAlignment="1">
      <alignment horizontal="center" vertical="center"/>
    </xf>
    <xf numFmtId="0" fontId="14" fillId="0" borderId="29" xfId="0" applyFont="1" applyFill="1" applyBorder="1" applyAlignment="1">
      <alignment horizontal="center" vertical="center" wrapText="1"/>
    </xf>
    <xf numFmtId="0" fontId="14" fillId="0" borderId="29" xfId="0" applyFont="1" applyFill="1" applyBorder="1" applyAlignment="1">
      <alignment horizontal="center"/>
    </xf>
    <xf numFmtId="0" fontId="11" fillId="0" borderId="29" xfId="0" applyFont="1" applyBorder="1" applyAlignment="1">
      <alignment horizontal="center"/>
    </xf>
    <xf numFmtId="165" fontId="14" fillId="0" borderId="29" xfId="0" applyNumberFormat="1" applyFont="1" applyFill="1" applyBorder="1" applyAlignment="1">
      <alignment horizontal="center"/>
    </xf>
    <xf numFmtId="0" fontId="11" fillId="0" borderId="29" xfId="0" applyFont="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wrapText="1"/>
    </xf>
    <xf numFmtId="0" fontId="14" fillId="0" borderId="0" xfId="0" applyFont="1" applyAlignment="1">
      <alignment horizontal="center" vertical="center"/>
    </xf>
    <xf numFmtId="0" fontId="11" fillId="0" borderId="29" xfId="0" applyFont="1" applyBorder="1" applyAlignment="1">
      <alignment horizontal="center" vertical="center" wrapText="1"/>
    </xf>
    <xf numFmtId="0" fontId="13" fillId="6" borderId="25" xfId="4136" applyFont="1" applyFill="1" applyBorder="1" applyAlignment="1">
      <alignment vertical="center"/>
    </xf>
    <xf numFmtId="0" fontId="13" fillId="0" borderId="25" xfId="4136" applyFont="1" applyFill="1" applyBorder="1" applyAlignment="1">
      <alignment vertical="center"/>
    </xf>
    <xf numFmtId="183" fontId="33" fillId="0" borderId="29" xfId="26" applyNumberFormat="1" applyFont="1" applyFill="1" applyBorder="1" applyAlignment="1">
      <alignment horizontal="center" vertical="center" wrapText="1"/>
    </xf>
    <xf numFmtId="0" fontId="13" fillId="0" borderId="29" xfId="26" applyNumberFormat="1" applyFont="1" applyFill="1" applyBorder="1" applyAlignment="1">
      <alignment horizontal="center" vertical="center"/>
    </xf>
    <xf numFmtId="165" fontId="13" fillId="0" borderId="29" xfId="26" applyNumberFormat="1" applyFont="1" applyFill="1" applyBorder="1" applyAlignment="1">
      <alignment horizontal="center" vertical="center"/>
    </xf>
    <xf numFmtId="183" fontId="13" fillId="0" borderId="29" xfId="26" applyNumberFormat="1" applyFont="1" applyFill="1" applyBorder="1" applyAlignment="1">
      <alignment horizontal="center" vertical="center" wrapText="1"/>
    </xf>
    <xf numFmtId="167" fontId="11" fillId="0" borderId="29" xfId="74" applyNumberFormat="1" applyFont="1" applyFill="1" applyBorder="1" applyAlignment="1">
      <alignment horizontal="right" vertical="center" shrinkToFit="1"/>
    </xf>
    <xf numFmtId="165" fontId="11" fillId="0" borderId="29" xfId="0" applyNumberFormat="1" applyFont="1" applyFill="1" applyBorder="1" applyAlignment="1">
      <alignment horizontal="center"/>
    </xf>
    <xf numFmtId="165" fontId="11" fillId="0" borderId="29" xfId="0" applyNumberFormat="1" applyFont="1" applyFill="1" applyBorder="1" applyAlignment="1">
      <alignment horizontal="center" vertical="center"/>
    </xf>
    <xf numFmtId="174" fontId="11" fillId="0" borderId="29" xfId="0" applyNumberFormat="1" applyFont="1" applyFill="1" applyBorder="1" applyAlignment="1">
      <alignment horizontal="center"/>
    </xf>
    <xf numFmtId="174" fontId="11" fillId="0" borderId="29" xfId="0" applyNumberFormat="1" applyFont="1" applyFill="1" applyBorder="1" applyAlignment="1">
      <alignment horizontal="center" vertical="center"/>
    </xf>
    <xf numFmtId="167" fontId="11" fillId="0" borderId="29" xfId="70" applyNumberFormat="1" applyFont="1" applyFill="1" applyBorder="1" applyAlignment="1">
      <alignment vertical="center"/>
    </xf>
    <xf numFmtId="0" fontId="14" fillId="0" borderId="29" xfId="0" applyFont="1" applyFill="1" applyBorder="1" applyAlignment="1">
      <alignment horizontal="right"/>
    </xf>
    <xf numFmtId="167" fontId="11" fillId="0" borderId="29" xfId="1" applyNumberFormat="1" applyFont="1" applyBorder="1" applyAlignment="1">
      <alignment horizontal="center" vertical="center"/>
    </xf>
    <xf numFmtId="165" fontId="11" fillId="0" borderId="29" xfId="0" applyNumberFormat="1" applyFont="1" applyBorder="1" applyAlignment="1">
      <alignment horizontal="center" vertical="center"/>
    </xf>
    <xf numFmtId="0" fontId="11" fillId="0" borderId="29" xfId="0" applyFont="1" applyBorder="1" applyAlignment="1">
      <alignment horizontal="left" vertical="center" wrapText="1"/>
    </xf>
    <xf numFmtId="0" fontId="14" fillId="0" borderId="29" xfId="0" applyFont="1" applyFill="1" applyBorder="1" applyAlignment="1">
      <alignment horizontal="center" vertical="center"/>
    </xf>
    <xf numFmtId="0" fontId="14" fillId="0" borderId="29" xfId="0" applyFont="1" applyFill="1" applyBorder="1" applyAlignment="1">
      <alignment horizontal="left" vertical="center" wrapText="1"/>
    </xf>
    <xf numFmtId="0" fontId="14" fillId="0" borderId="0" xfId="0" applyFont="1" applyFill="1" applyAlignment="1">
      <alignment horizontal="center" vertical="center"/>
    </xf>
    <xf numFmtId="167" fontId="11" fillId="0" borderId="29" xfId="1" applyNumberFormat="1" applyFont="1" applyFill="1" applyBorder="1" applyAlignment="1">
      <alignment horizontal="center" vertical="center"/>
    </xf>
    <xf numFmtId="0" fontId="11" fillId="0" borderId="29" xfId="0" applyFont="1" applyFill="1" applyBorder="1" applyAlignment="1">
      <alignment horizontal="center" vertical="center"/>
    </xf>
    <xf numFmtId="0" fontId="14" fillId="0" borderId="29" xfId="0" applyFont="1" applyBorder="1" applyAlignment="1">
      <alignment horizontal="left"/>
    </xf>
    <xf numFmtId="167" fontId="11" fillId="0" borderId="41" xfId="69" applyNumberFormat="1" applyFont="1" applyFill="1" applyBorder="1" applyAlignment="1">
      <alignment horizontal="center" vertical="center" wrapText="1"/>
    </xf>
    <xf numFmtId="167" fontId="11" fillId="0" borderId="29" xfId="0" applyNumberFormat="1" applyFont="1" applyBorder="1" applyAlignment="1">
      <alignment horizontal="center" vertical="center"/>
    </xf>
    <xf numFmtId="174" fontId="14" fillId="0" borderId="29" xfId="69" applyNumberFormat="1" applyFont="1" applyFill="1" applyBorder="1" applyAlignment="1">
      <alignment vertical="center" wrapText="1"/>
    </xf>
    <xf numFmtId="165" fontId="11" fillId="0" borderId="29" xfId="0" applyNumberFormat="1" applyFont="1" applyBorder="1" applyAlignment="1">
      <alignment horizontal="center"/>
    </xf>
    <xf numFmtId="0" fontId="178" fillId="0" borderId="0" xfId="5108" applyNumberFormat="1" applyFont="1" applyFill="1" applyAlignment="1">
      <alignment vertical="center" wrapText="1"/>
    </xf>
    <xf numFmtId="168" fontId="177" fillId="0" borderId="0" xfId="70" applyNumberFormat="1" applyFont="1" applyFill="1" applyBorder="1" applyAlignment="1">
      <alignment vertical="center" wrapText="1"/>
    </xf>
    <xf numFmtId="0" fontId="177" fillId="0" borderId="0" xfId="5108" applyFont="1" applyFill="1" applyAlignment="1">
      <alignment vertical="center" wrapText="1"/>
    </xf>
    <xf numFmtId="0" fontId="30" fillId="0" borderId="0" xfId="5108" applyFont="1" applyFill="1" applyAlignment="1">
      <alignment vertical="center" wrapText="1"/>
    </xf>
    <xf numFmtId="167" fontId="30" fillId="0" borderId="0" xfId="5108" applyNumberFormat="1" applyFont="1" applyFill="1" applyAlignment="1">
      <alignment horizontal="center" vertical="center" wrapText="1"/>
    </xf>
    <xf numFmtId="0" fontId="184" fillId="0" borderId="0" xfId="5111" applyFont="1"/>
    <xf numFmtId="0" fontId="243" fillId="0" borderId="0" xfId="5111" applyFont="1" applyAlignment="1">
      <alignment horizontal="right"/>
    </xf>
    <xf numFmtId="0" fontId="11" fillId="0" borderId="78" xfId="5111" applyFont="1" applyBorder="1" applyAlignment="1">
      <alignment horizontal="center" vertical="center"/>
    </xf>
    <xf numFmtId="0" fontId="11" fillId="0" borderId="79" xfId="5111" applyFont="1" applyBorder="1" applyAlignment="1">
      <alignment horizontal="center" vertical="center"/>
    </xf>
    <xf numFmtId="0" fontId="11" fillId="0" borderId="79" xfId="5111" applyFont="1" applyBorder="1" applyAlignment="1">
      <alignment horizontal="center" vertical="center" wrapText="1"/>
    </xf>
    <xf numFmtId="164" fontId="11" fillId="0" borderId="79" xfId="5112" applyNumberFormat="1" applyFont="1" applyBorder="1" applyAlignment="1">
      <alignment horizontal="center" vertical="center" wrapText="1"/>
    </xf>
    <xf numFmtId="0" fontId="11" fillId="0" borderId="43" xfId="5111" applyFont="1" applyBorder="1" applyAlignment="1">
      <alignment horizontal="center" vertical="center"/>
    </xf>
    <xf numFmtId="0" fontId="31" fillId="0" borderId="80" xfId="5111" applyFont="1" applyBorder="1" applyAlignment="1">
      <alignment horizontal="center" vertical="center" wrapText="1"/>
    </xf>
    <xf numFmtId="0" fontId="31" fillId="0" borderId="29" xfId="5111" applyFont="1" applyFill="1" applyBorder="1" applyAlignment="1">
      <alignment horizontal="left" vertical="center" wrapText="1"/>
    </xf>
    <xf numFmtId="3" fontId="244" fillId="0" borderId="29" xfId="5111" applyNumberFormat="1" applyFont="1" applyBorder="1" applyAlignment="1">
      <alignment horizontal="center" vertical="center" wrapText="1"/>
    </xf>
    <xf numFmtId="164" fontId="175" fillId="0" borderId="29" xfId="5112" applyNumberFormat="1" applyFont="1" applyBorder="1" applyAlignment="1">
      <alignment vertical="center" wrapText="1"/>
    </xf>
    <xf numFmtId="0" fontId="175" fillId="0" borderId="29" xfId="5111" applyFont="1" applyBorder="1" applyAlignment="1">
      <alignment vertical="center" wrapText="1"/>
    </xf>
    <xf numFmtId="186" fontId="31" fillId="0" borderId="81" xfId="5111" applyNumberFormat="1" applyFont="1" applyBorder="1" applyAlignment="1">
      <alignment vertical="center" wrapText="1"/>
    </xf>
    <xf numFmtId="0" fontId="175" fillId="0" borderId="80" xfId="5111" applyFont="1" applyBorder="1" applyAlignment="1">
      <alignment horizontal="center" vertical="center" wrapText="1"/>
    </xf>
    <xf numFmtId="0" fontId="30" fillId="0" borderId="29" xfId="5111" applyFont="1" applyBorder="1" applyAlignment="1">
      <alignment vertical="center" wrapText="1"/>
    </xf>
    <xf numFmtId="0" fontId="30" fillId="0" borderId="29" xfId="5111" applyFont="1" applyBorder="1" applyAlignment="1">
      <alignment horizontal="center" vertical="center" wrapText="1"/>
    </xf>
    <xf numFmtId="164" fontId="30" fillId="0" borderId="29" xfId="5112" applyNumberFormat="1" applyFont="1" applyBorder="1" applyAlignment="1">
      <alignment vertical="center" wrapText="1"/>
    </xf>
    <xf numFmtId="186" fontId="175" fillId="0" borderId="29" xfId="5112" applyNumberFormat="1" applyFont="1" applyBorder="1" applyAlignment="1">
      <alignment vertical="center" wrapText="1"/>
    </xf>
    <xf numFmtId="186" fontId="175" fillId="0" borderId="81" xfId="5112" applyNumberFormat="1" applyFont="1" applyBorder="1" applyAlignment="1">
      <alignment vertical="center" wrapText="1"/>
    </xf>
    <xf numFmtId="0" fontId="177" fillId="0" borderId="29" xfId="5111" applyFont="1" applyBorder="1" applyAlignment="1">
      <alignment vertical="center" wrapText="1"/>
    </xf>
    <xf numFmtId="0" fontId="178" fillId="0" borderId="29" xfId="5111" applyFont="1" applyFill="1" applyBorder="1" applyAlignment="1">
      <alignment vertical="center" wrapText="1"/>
    </xf>
    <xf numFmtId="0" fontId="175" fillId="0" borderId="29" xfId="5111" applyFont="1" applyBorder="1" applyAlignment="1">
      <alignment horizontal="center" vertical="center" wrapText="1"/>
    </xf>
    <xf numFmtId="0" fontId="31" fillId="0" borderId="80" xfId="5111" applyFont="1" applyBorder="1" applyAlignment="1">
      <alignment horizontal="left" vertical="center" wrapText="1"/>
    </xf>
    <xf numFmtId="354" fontId="175" fillId="0" borderId="29" xfId="5112" applyNumberFormat="1" applyFont="1" applyBorder="1" applyAlignment="1">
      <alignment horizontal="center" vertical="center" wrapText="1"/>
    </xf>
    <xf numFmtId="354" fontId="30" fillId="0" borderId="29" xfId="5112" applyNumberFormat="1" applyFont="1" applyBorder="1" applyAlignment="1">
      <alignment horizontal="center" vertical="center" wrapText="1"/>
    </xf>
    <xf numFmtId="0" fontId="31" fillId="0" borderId="29" xfId="5111" applyFont="1" applyBorder="1" applyAlignment="1">
      <alignment horizontal="left" vertical="center" wrapText="1"/>
    </xf>
    <xf numFmtId="0" fontId="30" fillId="0" borderId="80" xfId="5111" applyFont="1" applyBorder="1" applyAlignment="1">
      <alignment horizontal="center" vertical="center" wrapText="1"/>
    </xf>
    <xf numFmtId="43" fontId="30" fillId="0" borderId="29" xfId="5111" applyNumberFormat="1" applyFont="1" applyBorder="1" applyAlignment="1">
      <alignment vertical="center" wrapText="1"/>
    </xf>
    <xf numFmtId="186" fontId="31" fillId="0" borderId="81" xfId="5112" applyNumberFormat="1" applyFont="1" applyBorder="1" applyAlignment="1">
      <alignment vertical="center" wrapText="1"/>
    </xf>
    <xf numFmtId="0" fontId="31" fillId="0" borderId="82" xfId="5111" applyFont="1" applyBorder="1" applyAlignment="1">
      <alignment horizontal="center" vertical="center" wrapText="1"/>
    </xf>
    <xf numFmtId="0" fontId="30" fillId="0" borderId="83" xfId="5111" applyFont="1" applyBorder="1" applyAlignment="1">
      <alignment horizontal="center" vertical="center" wrapText="1"/>
    </xf>
    <xf numFmtId="0" fontId="30" fillId="0" borderId="84" xfId="5111" applyFont="1" applyBorder="1" applyAlignment="1">
      <alignment vertical="center" wrapText="1"/>
    </xf>
    <xf numFmtId="0" fontId="175" fillId="0" borderId="84" xfId="5111" applyFont="1" applyBorder="1" applyAlignment="1">
      <alignment horizontal="center" vertical="center" wrapText="1"/>
    </xf>
    <xf numFmtId="164" fontId="175" fillId="0" borderId="84" xfId="5112" applyNumberFormat="1" applyFont="1" applyBorder="1" applyAlignment="1">
      <alignment vertical="center" wrapText="1"/>
    </xf>
    <xf numFmtId="186" fontId="175" fillId="0" borderId="84" xfId="5112" applyNumberFormat="1" applyFont="1" applyBorder="1" applyAlignment="1">
      <alignment vertical="center" wrapText="1"/>
    </xf>
    <xf numFmtId="186" fontId="175" fillId="0" borderId="85" xfId="5112" applyNumberFormat="1" applyFont="1" applyBorder="1" applyAlignment="1">
      <alignment vertical="center" wrapText="1"/>
    </xf>
    <xf numFmtId="166" fontId="184" fillId="0" borderId="0" xfId="1" applyNumberFormat="1" applyFont="1"/>
    <xf numFmtId="165" fontId="184" fillId="0" borderId="0" xfId="5111" applyNumberFormat="1" applyFont="1"/>
    <xf numFmtId="0" fontId="6" fillId="0" borderId="0" xfId="4077" applyFont="1" applyFill="1"/>
    <xf numFmtId="0" fontId="62" fillId="0" borderId="0" xfId="4077" applyFont="1" applyFill="1" applyAlignment="1">
      <alignment vertical="center"/>
    </xf>
    <xf numFmtId="0" fontId="30" fillId="0" borderId="0" xfId="4077" applyFont="1" applyFill="1"/>
    <xf numFmtId="0" fontId="30" fillId="0" borderId="0" xfId="4077" applyFont="1" applyFill="1" applyAlignment="1">
      <alignment horizontal="left"/>
    </xf>
    <xf numFmtId="0" fontId="182" fillId="0" borderId="0" xfId="4077" applyFont="1" applyFill="1"/>
    <xf numFmtId="0" fontId="6" fillId="0" borderId="0" xfId="69" applyFont="1" applyFill="1" applyAlignment="1">
      <alignment vertical="center"/>
    </xf>
    <xf numFmtId="0" fontId="6" fillId="0" borderId="0" xfId="69" applyFont="1" applyFill="1" applyAlignment="1">
      <alignment horizontal="center" vertical="center"/>
    </xf>
    <xf numFmtId="167" fontId="6" fillId="0" borderId="0" xfId="70" applyNumberFormat="1" applyFont="1" applyFill="1" applyAlignment="1">
      <alignment vertical="center"/>
    </xf>
    <xf numFmtId="166" fontId="6" fillId="0" borderId="0" xfId="70" applyNumberFormat="1" applyFont="1" applyFill="1" applyAlignment="1">
      <alignment vertical="center"/>
    </xf>
    <xf numFmtId="0" fontId="70" fillId="0" borderId="0" xfId="69" applyFont="1" applyFill="1" applyAlignment="1">
      <alignment vertical="center"/>
    </xf>
    <xf numFmtId="0" fontId="70" fillId="0" borderId="0" xfId="69" applyFont="1" applyFill="1" applyAlignment="1">
      <alignment horizontal="right" vertical="center"/>
    </xf>
    <xf numFmtId="0" fontId="13" fillId="0" borderId="0" xfId="69" applyFont="1" applyFill="1" applyAlignment="1">
      <alignment vertical="center"/>
    </xf>
    <xf numFmtId="166" fontId="6" fillId="0" borderId="0" xfId="69" applyNumberFormat="1" applyFont="1" applyFill="1" applyAlignment="1">
      <alignment vertical="center"/>
    </xf>
    <xf numFmtId="0" fontId="32" fillId="0" borderId="29" xfId="69" applyFont="1" applyFill="1" applyBorder="1" applyAlignment="1">
      <alignment horizontal="center" vertical="center" wrapText="1"/>
    </xf>
    <xf numFmtId="3" fontId="32" fillId="0" borderId="29" xfId="69" applyNumberFormat="1" applyFont="1" applyFill="1" applyBorder="1" applyAlignment="1">
      <alignment horizontal="center" vertical="center" wrapText="1"/>
    </xf>
    <xf numFmtId="166" fontId="70" fillId="0" borderId="0" xfId="70" applyNumberFormat="1" applyFont="1" applyFill="1" applyAlignment="1">
      <alignment vertical="center"/>
    </xf>
    <xf numFmtId="166" fontId="70" fillId="0" borderId="0" xfId="69" applyNumberFormat="1" applyFont="1" applyFill="1" applyAlignment="1">
      <alignment vertical="center"/>
    </xf>
    <xf numFmtId="3" fontId="13" fillId="0" borderId="23" xfId="4077" applyNumberFormat="1" applyFont="1" applyFill="1" applyBorder="1" applyAlignment="1">
      <alignment horizontal="center" vertical="center" wrapText="1"/>
    </xf>
    <xf numFmtId="3" fontId="6" fillId="0" borderId="29" xfId="4077" applyNumberFormat="1" applyFont="1" applyFill="1" applyBorder="1" applyAlignment="1">
      <alignment horizontal="right" vertical="center"/>
    </xf>
    <xf numFmtId="166" fontId="6" fillId="0" borderId="29" xfId="76" applyNumberFormat="1" applyFont="1" applyFill="1" applyBorder="1" applyAlignment="1">
      <alignment horizontal="center" vertical="center" wrapText="1"/>
    </xf>
    <xf numFmtId="3" fontId="6" fillId="0" borderId="29" xfId="69" applyNumberFormat="1" applyFont="1" applyFill="1" applyBorder="1" applyAlignment="1">
      <alignment horizontal="center" vertical="center" wrapText="1"/>
    </xf>
    <xf numFmtId="0" fontId="70" fillId="0" borderId="29" xfId="69" applyFont="1" applyFill="1" applyBorder="1" applyAlignment="1">
      <alignment horizontal="center" vertical="center" wrapText="1"/>
    </xf>
    <xf numFmtId="166" fontId="6" fillId="0" borderId="29" xfId="69" applyNumberFormat="1" applyFont="1" applyFill="1" applyBorder="1" applyAlignment="1">
      <alignment vertical="center"/>
    </xf>
    <xf numFmtId="166" fontId="6" fillId="0" borderId="29" xfId="70" applyNumberFormat="1" applyFont="1" applyFill="1" applyBorder="1" applyAlignment="1">
      <alignment vertical="center"/>
    </xf>
    <xf numFmtId="0" fontId="6" fillId="0" borderId="29" xfId="69" applyFont="1" applyFill="1" applyBorder="1" applyAlignment="1">
      <alignment vertical="center"/>
    </xf>
    <xf numFmtId="0" fontId="178" fillId="0" borderId="0" xfId="5108" applyNumberFormat="1" applyFont="1" applyFill="1" applyAlignment="1">
      <alignment horizontal="center" vertical="center" wrapText="1"/>
    </xf>
    <xf numFmtId="0" fontId="187" fillId="0" borderId="0" xfId="5108" applyNumberFormat="1" applyFont="1" applyFill="1" applyAlignment="1">
      <alignment horizontal="right" vertical="center"/>
    </xf>
    <xf numFmtId="0" fontId="178" fillId="0" borderId="0" xfId="5108" applyNumberFormat="1" applyFont="1" applyFill="1" applyBorder="1" applyAlignment="1">
      <alignment vertical="center" wrapText="1"/>
    </xf>
    <xf numFmtId="167" fontId="13" fillId="0" borderId="29" xfId="5108" applyNumberFormat="1" applyFont="1" applyFill="1" applyBorder="1" applyAlignment="1">
      <alignment horizontal="center" vertical="center" wrapText="1"/>
    </xf>
    <xf numFmtId="0" fontId="6" fillId="0" borderId="29" xfId="5108" applyFont="1" applyFill="1" applyBorder="1" applyAlignment="1">
      <alignment horizontal="center" vertical="center" wrapText="1"/>
    </xf>
    <xf numFmtId="167" fontId="6" fillId="0" borderId="29" xfId="5108" applyNumberFormat="1" applyFont="1" applyFill="1" applyBorder="1" applyAlignment="1">
      <alignment horizontal="center" vertical="center" wrapText="1"/>
    </xf>
    <xf numFmtId="0" fontId="6" fillId="0" borderId="29" xfId="5108" applyFont="1" applyFill="1" applyBorder="1" applyAlignment="1">
      <alignment vertical="center" wrapText="1"/>
    </xf>
    <xf numFmtId="183" fontId="6" fillId="0" borderId="29" xfId="5108" applyNumberFormat="1" applyFont="1" applyFill="1" applyBorder="1" applyAlignment="1">
      <alignment horizontal="center" vertical="center" wrapText="1"/>
    </xf>
    <xf numFmtId="43" fontId="6" fillId="0" borderId="29" xfId="70" applyNumberFormat="1" applyFont="1" applyFill="1" applyBorder="1" applyAlignment="1">
      <alignment horizontal="center" vertical="center" wrapText="1"/>
    </xf>
    <xf numFmtId="165" fontId="6" fillId="0" borderId="29" xfId="5108" applyNumberFormat="1" applyFont="1" applyFill="1" applyBorder="1" applyAlignment="1">
      <alignment horizontal="center" vertical="center" wrapText="1"/>
    </xf>
    <xf numFmtId="166" fontId="6" fillId="0" borderId="29" xfId="1" applyNumberFormat="1" applyFont="1" applyFill="1" applyBorder="1" applyAlignment="1">
      <alignment vertical="center" wrapText="1"/>
    </xf>
    <xf numFmtId="2" fontId="6" fillId="0" borderId="29" xfId="5108" applyNumberFormat="1" applyFont="1" applyFill="1" applyBorder="1" applyAlignment="1">
      <alignment vertical="center" wrapText="1"/>
    </xf>
    <xf numFmtId="0" fontId="246" fillId="0" borderId="0" xfId="5108" applyNumberFormat="1" applyFont="1" applyFill="1" applyAlignment="1">
      <alignment horizontal="center" vertical="center" wrapText="1"/>
    </xf>
    <xf numFmtId="0" fontId="246" fillId="0" borderId="0" xfId="5108" applyNumberFormat="1" applyFont="1" applyFill="1" applyAlignment="1">
      <alignment horizontal="left" vertical="center"/>
    </xf>
    <xf numFmtId="168" fontId="246" fillId="0" borderId="0" xfId="70" applyNumberFormat="1" applyFont="1" applyFill="1" applyBorder="1" applyAlignment="1">
      <alignment vertical="center" wrapText="1"/>
    </xf>
    <xf numFmtId="0" fontId="246" fillId="0" borderId="0" xfId="5108" applyFont="1" applyFill="1" applyAlignment="1">
      <alignment vertical="center" wrapText="1"/>
    </xf>
    <xf numFmtId="0" fontId="246" fillId="0" borderId="0" xfId="5108" applyNumberFormat="1" applyFont="1" applyFill="1" applyAlignment="1">
      <alignment horizontal="right" vertical="center"/>
    </xf>
    <xf numFmtId="0" fontId="247" fillId="0" borderId="0" xfId="5108" applyNumberFormat="1" applyFont="1" applyFill="1" applyBorder="1" applyAlignment="1">
      <alignment vertical="center" wrapText="1"/>
    </xf>
    <xf numFmtId="0" fontId="247" fillId="0" borderId="0" xfId="5108" applyNumberFormat="1" applyFont="1" applyFill="1" applyAlignment="1">
      <alignment vertical="center" wrapText="1"/>
    </xf>
    <xf numFmtId="0" fontId="14" fillId="0" borderId="0" xfId="0" applyFont="1" applyFill="1" applyBorder="1" applyAlignment="1">
      <alignment horizontal="justify"/>
    </xf>
    <xf numFmtId="0" fontId="246" fillId="0" borderId="0" xfId="5108" applyFont="1" applyFill="1" applyAlignment="1">
      <alignment horizontal="left" vertical="center"/>
    </xf>
    <xf numFmtId="0" fontId="13" fillId="0" borderId="29" xfId="74" applyNumberFormat="1" applyFont="1" applyFill="1" applyBorder="1" applyAlignment="1">
      <alignment horizontal="center" vertical="center"/>
    </xf>
    <xf numFmtId="0" fontId="13" fillId="0" borderId="29" xfId="0" applyFont="1" applyFill="1" applyBorder="1" applyAlignment="1">
      <alignment vertical="center" wrapText="1"/>
    </xf>
    <xf numFmtId="0" fontId="13" fillId="0" borderId="29" xfId="74" applyNumberFormat="1" applyFont="1" applyFill="1" applyBorder="1" applyAlignment="1">
      <alignment horizontal="left" vertical="center"/>
    </xf>
    <xf numFmtId="0" fontId="6" fillId="0" borderId="29" xfId="74" applyNumberFormat="1" applyFont="1" applyFill="1" applyBorder="1" applyAlignment="1">
      <alignment horizontal="center" vertical="center"/>
    </xf>
    <xf numFmtId="0" fontId="6" fillId="0" borderId="29" xfId="0" applyFont="1" applyFill="1" applyBorder="1" applyAlignment="1">
      <alignment vertical="center" wrapText="1"/>
    </xf>
    <xf numFmtId="0" fontId="6" fillId="0" borderId="29" xfId="0" applyFont="1" applyFill="1" applyBorder="1" applyAlignment="1">
      <alignment vertical="center"/>
    </xf>
    <xf numFmtId="0" fontId="6" fillId="0" borderId="40" xfId="0" applyFont="1" applyFill="1" applyBorder="1" applyAlignment="1">
      <alignment vertical="center"/>
    </xf>
    <xf numFmtId="0" fontId="7" fillId="0" borderId="41" xfId="0" applyFont="1" applyFill="1" applyBorder="1" applyAlignment="1">
      <alignment vertical="center" wrapText="1"/>
    </xf>
    <xf numFmtId="2" fontId="6" fillId="0" borderId="29" xfId="5108" applyNumberFormat="1" applyFont="1" applyFill="1" applyBorder="1" applyAlignment="1">
      <alignment horizontal="center" vertical="center" wrapText="1"/>
    </xf>
    <xf numFmtId="43" fontId="6" fillId="0" borderId="29" xfId="5108" applyNumberFormat="1" applyFont="1" applyFill="1" applyBorder="1" applyAlignment="1">
      <alignment horizontal="center" vertical="center" wrapText="1"/>
    </xf>
    <xf numFmtId="0" fontId="13" fillId="0" borderId="40" xfId="0" applyFont="1" applyFill="1" applyBorder="1" applyAlignment="1">
      <alignment vertical="center"/>
    </xf>
    <xf numFmtId="0" fontId="6" fillId="0" borderId="29" xfId="0" applyFont="1" applyFill="1" applyBorder="1" applyAlignment="1">
      <alignment horizontal="center" vertical="center" wrapText="1"/>
    </xf>
    <xf numFmtId="0" fontId="6" fillId="0" borderId="29" xfId="0" applyFont="1" applyFill="1" applyBorder="1" applyAlignment="1">
      <alignment horizontal="center" vertical="center"/>
    </xf>
    <xf numFmtId="0" fontId="7" fillId="0" borderId="41" xfId="0" applyFont="1" applyFill="1" applyBorder="1" applyAlignment="1">
      <alignment horizontal="center" vertical="center" wrapText="1"/>
    </xf>
    <xf numFmtId="0" fontId="32" fillId="0" borderId="29" xfId="69" applyFont="1" applyFill="1" applyBorder="1" applyAlignment="1">
      <alignment horizontal="center" wrapText="1"/>
    </xf>
    <xf numFmtId="167" fontId="6" fillId="0" borderId="29" xfId="74" applyNumberFormat="1" applyFont="1" applyFill="1" applyBorder="1" applyAlignment="1">
      <alignment horizontal="right" vertical="center" shrinkToFit="1"/>
    </xf>
    <xf numFmtId="0" fontId="6" fillId="0" borderId="40" xfId="74" applyNumberFormat="1" applyFont="1" applyFill="1" applyBorder="1" applyAlignment="1">
      <alignment horizontal="center" vertical="center"/>
    </xf>
    <xf numFmtId="0" fontId="13" fillId="0" borderId="40" xfId="0" applyFont="1" applyFill="1" applyBorder="1" applyAlignment="1">
      <alignment horizontal="center" vertical="center" wrapText="1"/>
    </xf>
    <xf numFmtId="0" fontId="249" fillId="0" borderId="29" xfId="74" applyNumberFormat="1" applyFont="1" applyFill="1" applyBorder="1" applyAlignment="1">
      <alignment horizontal="center" vertical="center"/>
    </xf>
    <xf numFmtId="0" fontId="6" fillId="0" borderId="29" xfId="69" applyFont="1" applyFill="1" applyBorder="1" applyAlignment="1">
      <alignment horizontal="center" vertical="center"/>
    </xf>
    <xf numFmtId="167" fontId="6" fillId="0" borderId="29" xfId="70" applyNumberFormat="1" applyFont="1" applyFill="1" applyBorder="1" applyAlignment="1">
      <alignment vertical="center"/>
    </xf>
    <xf numFmtId="3" fontId="13" fillId="0" borderId="29" xfId="4077" applyNumberFormat="1" applyFont="1" applyFill="1" applyBorder="1" applyAlignment="1">
      <alignment horizontal="right" vertical="center"/>
    </xf>
    <xf numFmtId="186" fontId="13" fillId="0" borderId="29" xfId="1" applyNumberFormat="1" applyFont="1" applyFill="1" applyBorder="1" applyAlignment="1">
      <alignment horizontal="center" vertical="center" wrapText="1"/>
    </xf>
    <xf numFmtId="166" fontId="6" fillId="0" borderId="29" xfId="1" applyNumberFormat="1" applyFont="1" applyFill="1" applyBorder="1" applyAlignment="1">
      <alignment horizontal="right" vertical="center"/>
    </xf>
    <xf numFmtId="167" fontId="6" fillId="0" borderId="29" xfId="1" applyNumberFormat="1" applyFont="1" applyFill="1" applyBorder="1" applyAlignment="1">
      <alignment horizontal="center" vertical="center" wrapText="1"/>
    </xf>
    <xf numFmtId="167" fontId="6" fillId="0" borderId="29" xfId="1" applyNumberFormat="1" applyFont="1" applyFill="1" applyBorder="1" applyAlignment="1">
      <alignment horizontal="center" wrapText="1"/>
    </xf>
    <xf numFmtId="166" fontId="13" fillId="0" borderId="29" xfId="5112" applyNumberFormat="1" applyFont="1" applyFill="1" applyBorder="1" applyAlignment="1">
      <alignment vertical="center" wrapText="1"/>
    </xf>
    <xf numFmtId="166" fontId="6" fillId="0" borderId="29" xfId="5112" applyNumberFormat="1" applyFont="1" applyFill="1" applyBorder="1" applyAlignment="1">
      <alignment vertical="center" wrapText="1"/>
    </xf>
    <xf numFmtId="166" fontId="13" fillId="0" borderId="29" xfId="5111" applyNumberFormat="1" applyFont="1" applyFill="1" applyBorder="1" applyAlignment="1">
      <alignment vertical="center" wrapText="1"/>
    </xf>
    <xf numFmtId="0" fontId="13" fillId="0" borderId="29" xfId="0" applyFont="1" applyFill="1" applyBorder="1" applyAlignment="1">
      <alignment horizontal="center" vertical="center" wrapText="1"/>
    </xf>
    <xf numFmtId="0" fontId="31" fillId="0" borderId="0" xfId="71" applyFont="1" applyFill="1" applyAlignment="1">
      <alignment horizontal="left" vertical="center"/>
    </xf>
    <xf numFmtId="0" fontId="31" fillId="0" borderId="0" xfId="71" applyFont="1" applyFill="1" applyAlignment="1">
      <alignment horizontal="center" vertical="center"/>
    </xf>
    <xf numFmtId="0" fontId="30" fillId="0" borderId="0" xfId="72" applyFont="1" applyFill="1" applyAlignment="1">
      <alignment vertical="center"/>
    </xf>
    <xf numFmtId="0" fontId="31" fillId="0" borderId="0" xfId="71" applyFont="1" applyFill="1" applyAlignment="1">
      <alignment vertical="center" wrapText="1"/>
    </xf>
    <xf numFmtId="185" fontId="30" fillId="0" borderId="0" xfId="73" applyNumberFormat="1" applyFont="1" applyFill="1" applyAlignment="1">
      <alignment vertical="center"/>
    </xf>
    <xf numFmtId="0" fontId="31" fillId="0" borderId="0" xfId="4077" applyFont="1" applyFill="1"/>
    <xf numFmtId="0" fontId="13" fillId="0" borderId="29" xfId="69" applyFont="1" applyFill="1" applyBorder="1" applyAlignment="1">
      <alignment horizontal="center" vertical="center" wrapText="1"/>
    </xf>
    <xf numFmtId="3" fontId="13" fillId="0" borderId="29" xfId="69" applyNumberFormat="1" applyFont="1" applyFill="1" applyBorder="1" applyAlignment="1">
      <alignment horizontal="center" vertical="center" wrapText="1"/>
    </xf>
    <xf numFmtId="0" fontId="62" fillId="0" borderId="0" xfId="4077" applyFont="1" applyFill="1" applyAlignment="1">
      <alignment horizontal="center" vertical="center"/>
    </xf>
    <xf numFmtId="0" fontId="13" fillId="0" borderId="27" xfId="69" applyFont="1" applyFill="1" applyBorder="1" applyAlignment="1">
      <alignment horizontal="center" vertical="center" wrapText="1"/>
    </xf>
    <xf numFmtId="0" fontId="13" fillId="0" borderId="27" xfId="69" applyFont="1" applyFill="1" applyBorder="1" applyAlignment="1">
      <alignment horizontal="center" vertical="center"/>
    </xf>
    <xf numFmtId="0" fontId="13" fillId="0" borderId="29" xfId="5108" applyFont="1" applyFill="1" applyBorder="1" applyAlignment="1">
      <alignment horizontal="center" vertical="center" wrapText="1"/>
    </xf>
    <xf numFmtId="0" fontId="30" fillId="0" borderId="0" xfId="5108" applyFont="1" applyFill="1" applyAlignment="1">
      <alignment horizontal="center" vertical="center" wrapText="1"/>
    </xf>
    <xf numFmtId="0" fontId="247" fillId="0" borderId="0" xfId="5108" applyNumberFormat="1" applyFont="1" applyFill="1" applyAlignment="1">
      <alignment horizontal="center" vertical="center" wrapText="1"/>
    </xf>
    <xf numFmtId="0" fontId="246" fillId="0" borderId="0" xfId="5108" applyNumberFormat="1" applyFont="1" applyFill="1" applyAlignment="1">
      <alignment horizontal="left" vertical="center" wrapText="1"/>
    </xf>
    <xf numFmtId="0" fontId="13" fillId="0" borderId="29" xfId="69" applyFont="1" applyFill="1" applyBorder="1" applyAlignment="1">
      <alignment horizontal="center" vertical="center" wrapText="1"/>
    </xf>
    <xf numFmtId="0" fontId="247" fillId="0" borderId="0" xfId="5108" applyNumberFormat="1" applyFont="1" applyFill="1" applyAlignment="1">
      <alignment horizontal="center" vertical="center" wrapText="1"/>
    </xf>
    <xf numFmtId="0" fontId="246" fillId="0" borderId="0" xfId="5108" applyNumberFormat="1" applyFont="1" applyFill="1" applyAlignment="1">
      <alignment horizontal="left" vertical="center" wrapText="1"/>
    </xf>
    <xf numFmtId="0" fontId="14" fillId="0" borderId="0" xfId="73" applyFont="1" applyFill="1" applyAlignment="1">
      <alignment horizontal="left" vertical="center"/>
    </xf>
    <xf numFmtId="0" fontId="11" fillId="0" borderId="0" xfId="73" applyFont="1" applyFill="1" applyAlignment="1">
      <alignment horizontal="left" vertical="center" wrapText="1"/>
    </xf>
    <xf numFmtId="0" fontId="9" fillId="0" borderId="0" xfId="0" applyFont="1" applyFill="1" applyAlignment="1">
      <alignment vertical="center"/>
    </xf>
    <xf numFmtId="0" fontId="13" fillId="0" borderId="0" xfId="0" applyFont="1" applyFill="1" applyBorder="1" applyAlignment="1" applyProtection="1">
      <alignment horizontal="center" vertical="center"/>
      <protection locked="0"/>
    </xf>
    <xf numFmtId="0" fontId="13" fillId="0" borderId="0" xfId="0" applyFont="1" applyFill="1" applyBorder="1" applyAlignment="1" applyProtection="1">
      <alignment horizontal="centerContinuous" vertical="center"/>
      <protection locked="0"/>
    </xf>
    <xf numFmtId="165" fontId="13" fillId="0" borderId="0" xfId="0" applyNumberFormat="1" applyFont="1" applyFill="1" applyBorder="1" applyAlignment="1" applyProtection="1">
      <alignment horizontal="centerContinuous" vertical="center"/>
      <protection locked="0"/>
    </xf>
    <xf numFmtId="0" fontId="250" fillId="0" borderId="0" xfId="0" applyFont="1" applyFill="1"/>
    <xf numFmtId="0" fontId="250" fillId="0" borderId="0" xfId="0" applyFont="1" applyFill="1" applyAlignment="1">
      <alignment horizontal="centerContinuous"/>
    </xf>
    <xf numFmtId="3" fontId="13" fillId="0" borderId="0" xfId="0" applyNumberFormat="1" applyFont="1" applyFill="1" applyBorder="1" applyAlignment="1">
      <alignment horizontal="centerContinuous" vertical="center"/>
    </xf>
    <xf numFmtId="3" fontId="9" fillId="0" borderId="0" xfId="0" applyNumberFormat="1" applyFont="1" applyFill="1" applyAlignment="1">
      <alignment vertical="center"/>
    </xf>
    <xf numFmtId="3" fontId="13" fillId="0" borderId="0" xfId="0" applyNumberFormat="1" applyFont="1" applyFill="1" applyBorder="1" applyAlignment="1" applyProtection="1">
      <alignment horizontal="centerContinuous" vertical="center"/>
      <protection locked="0"/>
    </xf>
    <xf numFmtId="0" fontId="251" fillId="0" borderId="0" xfId="0" applyFont="1" applyFill="1" applyAlignment="1">
      <alignment vertical="center" wrapText="1"/>
    </xf>
    <xf numFmtId="0" fontId="13" fillId="0" borderId="29" xfId="69" applyFont="1" applyFill="1" applyBorder="1" applyAlignment="1">
      <alignment horizontal="center" vertical="center"/>
    </xf>
    <xf numFmtId="0" fontId="31" fillId="0" borderId="0" xfId="71" applyFont="1" applyFill="1" applyAlignment="1">
      <alignment horizontal="center" vertical="center" wrapText="1"/>
    </xf>
    <xf numFmtId="0" fontId="30" fillId="0" borderId="0" xfId="72" applyFont="1" applyFill="1" applyAlignment="1">
      <alignment vertical="center" wrapText="1"/>
    </xf>
    <xf numFmtId="0" fontId="30" fillId="0" borderId="0" xfId="4077" applyFont="1" applyFill="1" applyAlignment="1">
      <alignment wrapText="1"/>
    </xf>
    <xf numFmtId="3" fontId="13" fillId="0" borderId="29" xfId="76" applyNumberFormat="1" applyFont="1" applyFill="1" applyBorder="1" applyAlignment="1">
      <alignment horizontal="right" vertical="center" wrapText="1"/>
    </xf>
    <xf numFmtId="3" fontId="6" fillId="0" borderId="29" xfId="76" applyNumberFormat="1" applyFont="1" applyFill="1" applyBorder="1" applyAlignment="1">
      <alignment horizontal="right" vertical="center" wrapText="1"/>
    </xf>
    <xf numFmtId="3" fontId="13" fillId="0" borderId="29" xfId="5112" applyNumberFormat="1" applyFont="1" applyFill="1" applyBorder="1" applyAlignment="1">
      <alignment horizontal="right" vertical="center" wrapText="1"/>
    </xf>
    <xf numFmtId="3" fontId="13" fillId="0" borderId="29" xfId="1" applyNumberFormat="1" applyFont="1" applyFill="1" applyBorder="1" applyAlignment="1">
      <alignment horizontal="right" vertical="center" wrapText="1"/>
    </xf>
    <xf numFmtId="0" fontId="62" fillId="0" borderId="0" xfId="5113" applyFont="1" applyFill="1" applyAlignment="1"/>
    <xf numFmtId="0" fontId="14" fillId="0" borderId="0" xfId="5113"/>
    <xf numFmtId="0" fontId="252" fillId="0" borderId="29" xfId="5113" applyFont="1" applyBorder="1" applyAlignment="1">
      <alignment horizontal="center" vertical="center"/>
    </xf>
    <xf numFmtId="166" fontId="0" fillId="0" borderId="0" xfId="5114" applyNumberFormat="1" applyFont="1"/>
    <xf numFmtId="165" fontId="13" fillId="0" borderId="0" xfId="5113" applyNumberFormat="1" applyFont="1" applyFill="1" applyBorder="1" applyAlignment="1" applyProtection="1">
      <alignment horizontal="center" vertical="center"/>
      <protection locked="0"/>
    </xf>
    <xf numFmtId="165" fontId="13" fillId="0" borderId="0" xfId="5113" applyNumberFormat="1" applyFont="1" applyFill="1" applyBorder="1" applyAlignment="1" applyProtection="1">
      <alignment vertical="center"/>
      <protection locked="0"/>
    </xf>
    <xf numFmtId="0" fontId="252" fillId="0" borderId="29" xfId="5113" applyFont="1" applyBorder="1" applyAlignment="1">
      <alignment horizontal="center" vertical="center" wrapText="1"/>
    </xf>
    <xf numFmtId="0" fontId="14" fillId="0" borderId="29" xfId="5113" applyBorder="1" applyAlignment="1">
      <alignment horizontal="center" vertical="center"/>
    </xf>
    <xf numFmtId="0" fontId="14" fillId="0" borderId="29" xfId="5113" applyBorder="1" applyAlignment="1">
      <alignment vertical="center" wrapText="1"/>
    </xf>
    <xf numFmtId="3" fontId="14" fillId="0" borderId="29" xfId="5113" applyNumberFormat="1" applyBorder="1" applyAlignment="1">
      <alignment vertical="center"/>
    </xf>
    <xf numFmtId="0" fontId="14" fillId="0" borderId="29" xfId="5113" applyBorder="1"/>
    <xf numFmtId="0" fontId="14" fillId="0" borderId="29" xfId="5113" applyBorder="1" applyAlignment="1">
      <alignment horizontal="center" vertical="center" wrapText="1"/>
    </xf>
    <xf numFmtId="0" fontId="253" fillId="0" borderId="29" xfId="5113" applyFont="1" applyBorder="1" applyAlignment="1">
      <alignment horizontal="center" vertical="center"/>
    </xf>
    <xf numFmtId="3" fontId="253" fillId="0" borderId="29" xfId="5113" applyNumberFormat="1" applyFont="1" applyBorder="1" applyAlignment="1">
      <alignment vertical="center"/>
    </xf>
    <xf numFmtId="0" fontId="253" fillId="0" borderId="29" xfId="5113" applyFont="1" applyBorder="1" applyAlignment="1">
      <alignment horizontal="center" vertical="center" wrapText="1"/>
    </xf>
    <xf numFmtId="0" fontId="173" fillId="0" borderId="29" xfId="5113" applyFont="1" applyBorder="1" applyAlignment="1">
      <alignment horizontal="center" vertical="center"/>
    </xf>
    <xf numFmtId="0" fontId="173" fillId="0" borderId="29" xfId="5113" applyFont="1" applyBorder="1" applyAlignment="1">
      <alignment horizontal="center" vertical="center" wrapText="1"/>
    </xf>
    <xf numFmtId="0" fontId="219" fillId="0" borderId="0" xfId="5113" applyFont="1"/>
    <xf numFmtId="166" fontId="70" fillId="0" borderId="0" xfId="5114" applyNumberFormat="1" applyFont="1"/>
    <xf numFmtId="0" fontId="13" fillId="0" borderId="0" xfId="0" applyFont="1" applyFill="1" applyBorder="1" applyAlignment="1" applyProtection="1">
      <alignment horizontal="left" vertical="center"/>
      <protection locked="0"/>
    </xf>
    <xf numFmtId="3" fontId="13" fillId="0" borderId="0" xfId="0" applyNumberFormat="1" applyFont="1" applyFill="1" applyBorder="1" applyAlignment="1" applyProtection="1">
      <alignment horizontal="left" vertical="center"/>
      <protection locked="0"/>
    </xf>
    <xf numFmtId="0" fontId="253" fillId="0" borderId="29" xfId="5113" applyFont="1" applyBorder="1" applyAlignment="1">
      <alignment vertical="center"/>
    </xf>
    <xf numFmtId="0" fontId="252" fillId="0" borderId="29" xfId="5113" applyFont="1" applyBorder="1" applyAlignment="1">
      <alignment vertical="center"/>
    </xf>
    <xf numFmtId="3" fontId="252" fillId="0" borderId="29" xfId="5113" applyNumberFormat="1" applyFont="1" applyBorder="1" applyAlignment="1">
      <alignment vertical="center"/>
    </xf>
    <xf numFmtId="3" fontId="14" fillId="0" borderId="0" xfId="5113" applyNumberFormat="1" applyAlignment="1">
      <alignment vertical="center"/>
    </xf>
    <xf numFmtId="0" fontId="14" fillId="0" borderId="0" xfId="5113" applyAlignment="1">
      <alignment vertical="center"/>
    </xf>
    <xf numFmtId="0" fontId="247" fillId="0" borderId="0" xfId="5108" applyNumberFormat="1" applyFont="1" applyFill="1" applyAlignment="1">
      <alignment horizontal="center" vertical="center" wrapText="1"/>
    </xf>
    <xf numFmtId="0" fontId="14" fillId="0" borderId="29" xfId="5113" applyBorder="1" applyAlignment="1">
      <alignment horizontal="center" vertical="center"/>
    </xf>
    <xf numFmtId="0" fontId="14" fillId="0" borderId="29" xfId="5113" applyBorder="1" applyAlignment="1">
      <alignment horizontal="left" vertical="center" wrapText="1"/>
    </xf>
    <xf numFmtId="3" fontId="14" fillId="0" borderId="29" xfId="5113" applyNumberFormat="1" applyBorder="1" applyAlignment="1">
      <alignment horizontal="right" vertical="center"/>
    </xf>
    <xf numFmtId="3" fontId="14" fillId="0" borderId="26" xfId="5113" applyNumberFormat="1" applyBorder="1" applyAlignment="1">
      <alignment horizontal="right" vertical="center"/>
    </xf>
    <xf numFmtId="0" fontId="11" fillId="0" borderId="0" xfId="3" applyNumberFormat="1" applyFont="1" applyAlignment="1">
      <alignment horizontal="center" vertical="center"/>
    </xf>
    <xf numFmtId="0" fontId="193" fillId="0" borderId="0" xfId="4962" applyFont="1" applyFill="1" applyAlignment="1">
      <alignment horizontal="center" vertical="center" wrapText="1"/>
    </xf>
    <xf numFmtId="0" fontId="190" fillId="0" borderId="0" xfId="4962" applyFont="1" applyFill="1" applyAlignment="1">
      <alignment horizontal="center" vertical="center" wrapText="1"/>
    </xf>
    <xf numFmtId="0" fontId="176" fillId="0" borderId="29" xfId="4962" applyFont="1" applyFill="1" applyBorder="1" applyAlignment="1">
      <alignment horizontal="center" vertical="center" wrapText="1"/>
    </xf>
    <xf numFmtId="0" fontId="189" fillId="0" borderId="29" xfId="4962" applyFont="1" applyFill="1" applyBorder="1" applyAlignment="1">
      <alignment horizontal="center" vertical="center" wrapText="1"/>
    </xf>
    <xf numFmtId="0" fontId="189" fillId="0" borderId="26" xfId="4962" applyFont="1" applyFill="1" applyBorder="1" applyAlignment="1">
      <alignment horizontal="center" vertical="center" wrapText="1"/>
    </xf>
    <xf numFmtId="0" fontId="189" fillId="0" borderId="27" xfId="4962" applyFont="1" applyFill="1" applyBorder="1" applyAlignment="1">
      <alignment horizontal="center" vertical="center" wrapText="1"/>
    </xf>
    <xf numFmtId="0" fontId="31" fillId="0" borderId="40" xfId="4962" applyFont="1" applyFill="1" applyBorder="1" applyAlignment="1">
      <alignment horizontal="center" vertical="center"/>
    </xf>
    <xf numFmtId="0" fontId="31" fillId="0" borderId="39" xfId="4962" applyFont="1" applyFill="1" applyBorder="1" applyAlignment="1">
      <alignment horizontal="center" vertical="center"/>
    </xf>
    <xf numFmtId="0" fontId="31" fillId="0" borderId="41" xfId="4962" applyFont="1" applyFill="1" applyBorder="1" applyAlignment="1">
      <alignment horizontal="center" vertical="center"/>
    </xf>
    <xf numFmtId="4" fontId="31" fillId="0" borderId="40" xfId="4965" applyNumberFormat="1" applyFont="1" applyFill="1" applyBorder="1" applyAlignment="1">
      <alignment horizontal="left" vertical="center"/>
    </xf>
    <xf numFmtId="4" fontId="31" fillId="0" borderId="39" xfId="4965" applyNumberFormat="1" applyFont="1" applyFill="1" applyBorder="1" applyAlignment="1">
      <alignment horizontal="left" vertical="center"/>
    </xf>
    <xf numFmtId="4" fontId="31" fillId="0" borderId="41" xfId="4965" applyNumberFormat="1" applyFont="1" applyFill="1" applyBorder="1" applyAlignment="1">
      <alignment horizontal="left" vertical="center"/>
    </xf>
    <xf numFmtId="0" fontId="30" fillId="0" borderId="40" xfId="4964" applyNumberFormat="1" applyFont="1" applyFill="1" applyBorder="1" applyAlignment="1" applyProtection="1">
      <alignment horizontal="left" vertical="center" wrapText="1"/>
      <protection locked="0"/>
    </xf>
    <xf numFmtId="0" fontId="30" fillId="0" borderId="39" xfId="4964" applyNumberFormat="1" applyFont="1" applyFill="1" applyBorder="1" applyAlignment="1" applyProtection="1">
      <alignment horizontal="left" vertical="center" wrapText="1"/>
      <protection locked="0"/>
    </xf>
    <xf numFmtId="0" fontId="30" fillId="0" borderId="41" xfId="4964" applyNumberFormat="1" applyFont="1" applyFill="1" applyBorder="1" applyAlignment="1" applyProtection="1">
      <alignment horizontal="left" vertical="center" wrapText="1"/>
      <protection locked="0"/>
    </xf>
    <xf numFmtId="0" fontId="189" fillId="0" borderId="0" xfId="4962" applyFont="1" applyFill="1" applyAlignment="1">
      <alignment horizontal="center" vertical="center" wrapText="1"/>
    </xf>
    <xf numFmtId="0" fontId="189" fillId="0" borderId="0" xfId="4962" applyFont="1" applyFill="1" applyAlignment="1">
      <alignment horizontal="left" vertical="center" wrapText="1"/>
    </xf>
    <xf numFmtId="0" fontId="62" fillId="0" borderId="29" xfId="4962" applyFont="1" applyFill="1" applyBorder="1" applyAlignment="1">
      <alignment horizontal="center" vertical="center"/>
    </xf>
    <xf numFmtId="0" fontId="62" fillId="0" borderId="40" xfId="4962" applyFont="1" applyFill="1" applyBorder="1" applyAlignment="1">
      <alignment horizontal="center" vertical="center"/>
    </xf>
    <xf numFmtId="0" fontId="62" fillId="0" borderId="39" xfId="4962" applyFont="1" applyFill="1" applyBorder="1" applyAlignment="1">
      <alignment horizontal="center" vertical="center"/>
    </xf>
    <xf numFmtId="0" fontId="62" fillId="0" borderId="41" xfId="4962" applyFont="1" applyFill="1" applyBorder="1" applyAlignment="1">
      <alignment horizontal="center" vertical="center"/>
    </xf>
    <xf numFmtId="0" fontId="13" fillId="0" borderId="29" xfId="26" applyNumberFormat="1" applyFont="1" applyFill="1" applyBorder="1" applyAlignment="1">
      <alignment horizontal="center" vertical="center" textRotation="90" wrapText="1"/>
    </xf>
    <xf numFmtId="0" fontId="9" fillId="0" borderId="42" xfId="4136" applyFont="1" applyFill="1" applyBorder="1" applyAlignment="1">
      <alignment horizontal="center"/>
    </xf>
    <xf numFmtId="0" fontId="13" fillId="0" borderId="23" xfId="26" applyNumberFormat="1" applyFont="1" applyFill="1" applyBorder="1" applyAlignment="1">
      <alignment horizontal="center" vertical="center" wrapText="1"/>
    </xf>
    <xf numFmtId="0" fontId="13" fillId="0" borderId="34" xfId="26" applyNumberFormat="1" applyFont="1" applyFill="1" applyBorder="1" applyAlignment="1">
      <alignment horizontal="center" vertical="center" wrapText="1"/>
    </xf>
    <xf numFmtId="0" fontId="13" fillId="0" borderId="34" xfId="26" applyNumberFormat="1" applyFont="1" applyFill="1" applyBorder="1" applyAlignment="1">
      <alignment horizontal="center" vertical="center"/>
    </xf>
    <xf numFmtId="0" fontId="13" fillId="0" borderId="26" xfId="26" applyNumberFormat="1" applyFont="1" applyFill="1" applyBorder="1" applyAlignment="1">
      <alignment horizontal="center" vertical="center" wrapText="1"/>
    </xf>
    <xf numFmtId="0" fontId="13" fillId="0" borderId="27" xfId="26" applyNumberFormat="1" applyFont="1" applyFill="1" applyBorder="1" applyAlignment="1">
      <alignment horizontal="center" vertical="center" wrapText="1"/>
    </xf>
    <xf numFmtId="0" fontId="13" fillId="0" borderId="40" xfId="26" applyNumberFormat="1" applyFont="1" applyFill="1" applyBorder="1" applyAlignment="1">
      <alignment horizontal="center" vertical="center" wrapText="1"/>
    </xf>
    <xf numFmtId="0" fontId="13" fillId="0" borderId="41" xfId="26" applyNumberFormat="1" applyFont="1" applyFill="1" applyBorder="1" applyAlignment="1">
      <alignment horizontal="center" vertical="center" wrapText="1"/>
    </xf>
    <xf numFmtId="0" fontId="13" fillId="0" borderId="40" xfId="4136" applyNumberFormat="1" applyFont="1" applyFill="1" applyBorder="1" applyAlignment="1">
      <alignment horizontal="center" vertical="center"/>
    </xf>
    <xf numFmtId="0" fontId="13" fillId="0" borderId="41" xfId="4136" applyNumberFormat="1" applyFont="1" applyFill="1" applyBorder="1" applyAlignment="1">
      <alignment horizontal="center" vertical="center"/>
    </xf>
    <xf numFmtId="3" fontId="13" fillId="0" borderId="29" xfId="69" applyNumberFormat="1" applyFont="1" applyFill="1" applyBorder="1" applyAlignment="1">
      <alignment horizontal="center" vertical="center"/>
    </xf>
    <xf numFmtId="0" fontId="13" fillId="0" borderId="29" xfId="69" applyFont="1" applyFill="1" applyBorder="1" applyAlignment="1">
      <alignment horizontal="center" vertical="center" wrapText="1"/>
    </xf>
    <xf numFmtId="0" fontId="62" fillId="0" borderId="0" xfId="4077" applyFont="1" applyFill="1" applyAlignment="1">
      <alignment horizontal="center" vertical="center"/>
    </xf>
    <xf numFmtId="0" fontId="31" fillId="0" borderId="0" xfId="71" applyFont="1" applyFill="1" applyAlignment="1">
      <alignment horizontal="left" vertical="center" wrapText="1"/>
    </xf>
    <xf numFmtId="0" fontId="31" fillId="0" borderId="0" xfId="73" applyFont="1" applyFill="1" applyAlignment="1">
      <alignment horizontal="left" vertical="center" wrapText="1"/>
    </xf>
    <xf numFmtId="0" fontId="30" fillId="0" borderId="0" xfId="4077" applyFont="1" applyFill="1" applyAlignment="1">
      <alignment horizontal="left" vertical="center" wrapText="1"/>
    </xf>
    <xf numFmtId="0" fontId="13" fillId="0" borderId="26" xfId="69" applyFont="1" applyFill="1" applyBorder="1" applyAlignment="1">
      <alignment horizontal="center" vertical="center" wrapText="1"/>
    </xf>
    <xf numFmtId="0" fontId="13" fillId="0" borderId="27" xfId="69" applyFont="1" applyFill="1" applyBorder="1" applyAlignment="1">
      <alignment horizontal="center" vertical="center" wrapText="1"/>
    </xf>
    <xf numFmtId="0" fontId="13" fillId="0" borderId="26" xfId="69" applyFont="1" applyFill="1" applyBorder="1" applyAlignment="1">
      <alignment horizontal="center" vertical="center"/>
    </xf>
    <xf numFmtId="0" fontId="13" fillId="0" borderId="27" xfId="69" applyFont="1" applyFill="1" applyBorder="1" applyAlignment="1">
      <alignment horizontal="center" vertical="center"/>
    </xf>
    <xf numFmtId="3" fontId="13" fillId="0" borderId="29" xfId="69" applyNumberFormat="1" applyFont="1" applyFill="1" applyBorder="1" applyAlignment="1">
      <alignment horizontal="center" vertical="center" wrapText="1"/>
    </xf>
    <xf numFmtId="0" fontId="246" fillId="0" borderId="0" xfId="5108" applyNumberFormat="1" applyFont="1" applyFill="1" applyAlignment="1">
      <alignment horizontal="left" vertical="center" wrapText="1"/>
    </xf>
    <xf numFmtId="0" fontId="242" fillId="0" borderId="0" xfId="5108" applyNumberFormat="1" applyFont="1" applyFill="1" applyAlignment="1">
      <alignment horizontal="center" vertical="center" wrapText="1"/>
    </xf>
    <xf numFmtId="0" fontId="247" fillId="0" borderId="0" xfId="5108" applyNumberFormat="1" applyFont="1" applyFill="1" applyAlignment="1">
      <alignment horizontal="center" vertical="center" wrapText="1"/>
    </xf>
    <xf numFmtId="0" fontId="14" fillId="0" borderId="0" xfId="73" applyFont="1" applyFill="1" applyAlignment="1">
      <alignment horizontal="left" vertical="center" wrapText="1"/>
    </xf>
    <xf numFmtId="0" fontId="13" fillId="0" borderId="29" xfId="5108" applyFont="1" applyFill="1" applyBorder="1" applyAlignment="1">
      <alignment horizontal="center" vertical="center" wrapText="1"/>
    </xf>
    <xf numFmtId="0" fontId="30" fillId="0" borderId="0" xfId="5108" applyFont="1" applyFill="1" applyAlignment="1">
      <alignment horizontal="center" vertical="center" wrapText="1"/>
    </xf>
    <xf numFmtId="0" fontId="183" fillId="0" borderId="26" xfId="5108" applyNumberFormat="1" applyFont="1" applyFill="1" applyBorder="1" applyAlignment="1">
      <alignment horizontal="center" vertical="center" wrapText="1"/>
    </xf>
    <xf numFmtId="0" fontId="183" fillId="0" borderId="27" xfId="5108" applyNumberFormat="1" applyFont="1" applyFill="1" applyBorder="1" applyAlignment="1">
      <alignment horizontal="center" vertical="center" wrapText="1"/>
    </xf>
    <xf numFmtId="0" fontId="183" fillId="0" borderId="29" xfId="5108" applyNumberFormat="1" applyFont="1" applyFill="1" applyBorder="1" applyAlignment="1">
      <alignment horizontal="center" vertical="center" wrapText="1"/>
    </xf>
    <xf numFmtId="43" fontId="13" fillId="0" borderId="29" xfId="1" applyFont="1" applyFill="1" applyBorder="1" applyAlignment="1">
      <alignment horizontal="center" vertical="center" wrapText="1"/>
    </xf>
    <xf numFmtId="0" fontId="31" fillId="0" borderId="0" xfId="73" applyFont="1" applyFill="1" applyAlignment="1">
      <alignment horizontal="left" vertical="center"/>
    </xf>
    <xf numFmtId="0" fontId="62" fillId="0" borderId="0" xfId="5113" applyFont="1" applyFill="1" applyAlignment="1">
      <alignment horizontal="center"/>
    </xf>
    <xf numFmtId="0" fontId="31" fillId="0" borderId="0" xfId="71" applyFont="1" applyFill="1" applyAlignment="1">
      <alignment horizontal="center" vertical="center"/>
    </xf>
    <xf numFmtId="0" fontId="31" fillId="0" borderId="42" xfId="71" applyFont="1" applyFill="1" applyBorder="1" applyAlignment="1">
      <alignment horizontal="center" vertical="center" wrapText="1"/>
    </xf>
    <xf numFmtId="3" fontId="13" fillId="0" borderId="0" xfId="0" applyNumberFormat="1" applyFont="1" applyFill="1" applyBorder="1" applyAlignment="1" applyProtection="1">
      <alignment horizontal="center" vertical="center"/>
      <protection locked="0"/>
    </xf>
    <xf numFmtId="0" fontId="31" fillId="0" borderId="80" xfId="5111" applyFont="1" applyBorder="1" applyAlignment="1">
      <alignment horizontal="left" vertical="center" wrapText="1"/>
    </xf>
    <xf numFmtId="0" fontId="31" fillId="0" borderId="29" xfId="5111" applyFont="1" applyBorder="1" applyAlignment="1">
      <alignment horizontal="left" vertical="center" wrapText="1"/>
    </xf>
    <xf numFmtId="0" fontId="31" fillId="0" borderId="81" xfId="5111" applyFont="1" applyBorder="1" applyAlignment="1">
      <alignment horizontal="left" vertical="center" wrapText="1"/>
    </xf>
    <xf numFmtId="0" fontId="189" fillId="0" borderId="0" xfId="5111" applyFont="1" applyAlignment="1">
      <alignment horizontal="center"/>
    </xf>
    <xf numFmtId="0" fontId="31" fillId="0" borderId="80" xfId="5111" applyFont="1" applyBorder="1" applyAlignment="1">
      <alignment horizontal="left" vertical="center"/>
    </xf>
    <xf numFmtId="0" fontId="31" fillId="0" borderId="29" xfId="5111" applyFont="1" applyBorder="1" applyAlignment="1">
      <alignment horizontal="left" vertical="center"/>
    </xf>
    <xf numFmtId="0" fontId="31" fillId="0" borderId="81" xfId="5111" applyFont="1" applyBorder="1" applyAlignment="1">
      <alignment horizontal="left" vertical="center"/>
    </xf>
    <xf numFmtId="0" fontId="13" fillId="0" borderId="26" xfId="4090" applyFont="1" applyFill="1" applyBorder="1" applyAlignment="1">
      <alignment horizontal="center" vertical="center" wrapText="1"/>
    </xf>
    <xf numFmtId="0" fontId="13" fillId="0" borderId="27" xfId="4090" applyFont="1" applyFill="1" applyBorder="1" applyAlignment="1">
      <alignment horizontal="center" vertical="center" wrapText="1"/>
    </xf>
    <xf numFmtId="0" fontId="13" fillId="0" borderId="26" xfId="4090" applyFont="1" applyFill="1" applyBorder="1" applyAlignment="1">
      <alignment horizontal="center" vertical="center"/>
    </xf>
    <xf numFmtId="0" fontId="13" fillId="0" borderId="27" xfId="4090" applyFont="1" applyFill="1" applyBorder="1" applyAlignment="1">
      <alignment horizontal="center" vertical="center"/>
    </xf>
    <xf numFmtId="0" fontId="69" fillId="0" borderId="0" xfId="4090" applyFont="1" applyFill="1" applyAlignment="1">
      <alignment horizontal="center"/>
    </xf>
    <xf numFmtId="0" fontId="179" fillId="0" borderId="0" xfId="4090" applyFont="1" applyFill="1" applyBorder="1" applyAlignment="1">
      <alignment horizontal="center" wrapText="1"/>
    </xf>
    <xf numFmtId="0" fontId="13" fillId="0" borderId="42" xfId="4090" applyFont="1" applyFill="1" applyBorder="1" applyAlignment="1">
      <alignment horizontal="center" wrapText="1"/>
    </xf>
    <xf numFmtId="0" fontId="13" fillId="0" borderId="29" xfId="4090" applyFont="1" applyFill="1" applyBorder="1" applyAlignment="1">
      <alignment horizontal="center"/>
    </xf>
    <xf numFmtId="0" fontId="13" fillId="0" borderId="40" xfId="4090" applyFont="1" applyFill="1" applyBorder="1" applyAlignment="1">
      <alignment horizontal="center"/>
    </xf>
    <xf numFmtId="0" fontId="13" fillId="0" borderId="39" xfId="4090" applyFont="1" applyFill="1" applyBorder="1" applyAlignment="1">
      <alignment horizontal="center"/>
    </xf>
    <xf numFmtId="0" fontId="13" fillId="0" borderId="41" xfId="4090" applyFont="1" applyFill="1" applyBorder="1" applyAlignment="1">
      <alignment horizontal="center"/>
    </xf>
    <xf numFmtId="0" fontId="13" fillId="0" borderId="59" xfId="4090" applyFont="1" applyFill="1" applyBorder="1" applyAlignment="1">
      <alignment horizontal="center"/>
    </xf>
    <xf numFmtId="0" fontId="13" fillId="0" borderId="60" xfId="4090" applyFont="1" applyFill="1" applyBorder="1" applyAlignment="1">
      <alignment horizontal="center"/>
    </xf>
    <xf numFmtId="0" fontId="13" fillId="0" borderId="61" xfId="4090" applyFont="1" applyFill="1" applyBorder="1" applyAlignment="1">
      <alignment horizontal="center"/>
    </xf>
    <xf numFmtId="0" fontId="13" fillId="0" borderId="26" xfId="4090" applyFont="1" applyFill="1" applyBorder="1" applyAlignment="1">
      <alignment horizontal="center"/>
    </xf>
    <xf numFmtId="0" fontId="13" fillId="0" borderId="27" xfId="4090" applyFont="1" applyFill="1" applyBorder="1" applyAlignment="1">
      <alignment horizontal="center"/>
    </xf>
    <xf numFmtId="0" fontId="13" fillId="0" borderId="0" xfId="0" applyFont="1" applyAlignment="1">
      <alignment horizontal="center" vertical="center" wrapText="1"/>
    </xf>
    <xf numFmtId="0" fontId="14" fillId="0" borderId="29" xfId="69" applyFont="1" applyFill="1" applyBorder="1" applyAlignment="1">
      <alignment horizontal="center" vertical="center" wrapText="1"/>
    </xf>
    <xf numFmtId="0" fontId="14" fillId="0" borderId="29" xfId="0" applyFont="1" applyBorder="1" applyAlignment="1">
      <alignment horizontal="center" vertical="center" wrapText="1"/>
    </xf>
    <xf numFmtId="0" fontId="12" fillId="0" borderId="0" xfId="0" applyFont="1" applyAlignment="1">
      <alignment horizontal="center"/>
    </xf>
    <xf numFmtId="0" fontId="11" fillId="0" borderId="29" xfId="0" applyFont="1" applyBorder="1" applyAlignment="1">
      <alignment horizontal="center" vertical="center"/>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3" fillId="0" borderId="26" xfId="26" applyNumberFormat="1" applyFont="1" applyFill="1" applyBorder="1" applyAlignment="1">
      <alignment horizontal="center" vertical="center" textRotation="90" wrapText="1"/>
    </xf>
    <xf numFmtId="0" fontId="13" fillId="0" borderId="28" xfId="26" applyNumberFormat="1" applyFont="1" applyFill="1" applyBorder="1" applyAlignment="1">
      <alignment horizontal="center" vertical="center" textRotation="90" wrapText="1"/>
    </xf>
    <xf numFmtId="0" fontId="13" fillId="6" borderId="25" xfId="4136" applyFont="1" applyFill="1" applyBorder="1" applyAlignment="1">
      <alignment horizontal="center" vertical="center"/>
    </xf>
    <xf numFmtId="0" fontId="13" fillId="0" borderId="25" xfId="4136" applyFont="1" applyFill="1" applyBorder="1" applyAlignment="1">
      <alignment horizontal="center" vertical="center"/>
    </xf>
    <xf numFmtId="165" fontId="13" fillId="0" borderId="0" xfId="0" applyNumberFormat="1" applyFont="1" applyFill="1" applyBorder="1" applyAlignment="1" applyProtection="1">
      <alignment vertical="center"/>
      <protection locked="0"/>
    </xf>
  </cellXfs>
  <cellStyles count="5115">
    <cellStyle name="_x0001_" xfId="79"/>
    <cellStyle name="          _x000d_&#10;shell=progman.exe_x000d_&#10;m" xfId="80"/>
    <cellStyle name="%" xfId="81"/>
    <cellStyle name="%_1" xfId="82"/>
    <cellStyle name="??" xfId="5"/>
    <cellStyle name="?? [ - ??1" xfId="6"/>
    <cellStyle name="?? [ - ??2" xfId="7"/>
    <cellStyle name="?? [ - ??3" xfId="8"/>
    <cellStyle name="?? [ - ??4" xfId="9"/>
    <cellStyle name="?? [ - ??5" xfId="10"/>
    <cellStyle name="?? [ - ??6" xfId="11"/>
    <cellStyle name="?? [ - ??7" xfId="12"/>
    <cellStyle name="?? [ - ??8" xfId="13"/>
    <cellStyle name="?? [0.00]_        " xfId="83"/>
    <cellStyle name="?? [0]" xfId="14"/>
    <cellStyle name="?_x001d_??%U©÷u&amp;H©÷9_x0008_? s&#10;_x0007__x0001__x0001_" xfId="84"/>
    <cellStyle name="?_x001d_??%U©÷u&amp;H©÷9_x0008_? s&#10;_x0007__x0001__x0001_?_x0002_???????????????_x0001_(_x0002_u_x000d_?????_x001f_????????_x0007_????????????????!???????????           ?????           ?????????_x000d_C:\WINDOWS\country.sys_x000d_??????????????????????????????????????????????????????????????????????????????????????????????" xfId="85"/>
    <cellStyle name="?_x001d_??%U©÷u&amp;H©÷9_x0008_? s&#10;_x0007__x0001__x0001_?_x0002_???????????????_x0001_(_x0002_u_x000d_?????_x001f_????????_x0007_????????????????!???????????           ?????           ?????????_x000d_C:\WINDOWS\country.sys_x000d_?????????????????????????????????????????????????????????????????????????????????????????????? 1" xfId="86"/>
    <cellStyle name="?_x001d_??%U©÷u&amp;H©÷9_x0008_? s&#10;_x0007__x0001__x0001_?_x0002_???????????????_x0001_(_x0002_u_x000d_?????_x001f_????????_x0007_????????????????!???????????           ?????           ?????????_x000d_C:\WINDOWS\country.sys_x000d_??????????????????????????????????????????????????????????????????????????????????????????????_°ÇÃà°ßÀû¾ç½Ä" xfId="87"/>
    <cellStyle name="???? [0.00]_        " xfId="88"/>
    <cellStyle name="????_        " xfId="89"/>
    <cellStyle name="???[0]_?? DI" xfId="90"/>
    <cellStyle name="???_?? DI" xfId="91"/>
    <cellStyle name="?_x0010__x0001_??Pr" xfId="92"/>
    <cellStyle name="?_x0010__x0001_??Pr 1" xfId="93"/>
    <cellStyle name="?_x0010__x0001_??Pr_BAO CAO KLCT PT2000" xfId="94"/>
    <cellStyle name="??[0]_BRE" xfId="95"/>
    <cellStyle name="??_        " xfId="96"/>
    <cellStyle name="??9JS—_x0008_??????????????????H_x0001_????&lt;i·0??????????_x0007_?_x0010__x0001_??Thongso??9JS—_x0008_??????????????????‚_x0001_?" xfId="97"/>
    <cellStyle name="??9JS—_x0008_??????????????????H_x0001_????&lt;i·0??????????_x0007_?_x0010__x0001_??Thongso??9JS—_x0008_??????????????????‚_x0001_? 1" xfId="98"/>
    <cellStyle name="??9JS—_x0008_??????????????????H_x0001_????&lt;i·0??????????_x0007_?_x0010__x0001_??Thongso??9JS—_x0008_??????????????????‚_x0001_?_BAO CAO KLCT PT2000" xfId="99"/>
    <cellStyle name="??A? [0]_laroux_1_¢¬???¢â? " xfId="100"/>
    <cellStyle name="??A?_laroux_1_¢¬???¢â? " xfId="101"/>
    <cellStyle name="_x0001_??Thanh_phan?9š" xfId="102"/>
    <cellStyle name="?¡±¢¥?_?¨ù??¢´¢¥_¢¬???¢â? " xfId="103"/>
    <cellStyle name="?10" xfId="104"/>
    <cellStyle name="?13" xfId="105"/>
    <cellStyle name="?ðÇ%U?&amp;H?_x0008_?s&#10;_x0007__x0001__x0001_" xfId="106"/>
    <cellStyle name="?ðÇ%U?&amp;H?_x0008_?s&#10;_x0007__x0001__x0001_?_x0002_ÿÿÿÿÿÿÿÿÿÿÿÿÿÿÿ_x0001_(_x0002_?€????ÿÿÿÿ????_x0007_??????????????????????????           ?????           ?????????_x000d_C:\WINDOWS\country.sys_x000d_??????????????????????????????????????????????????????????????????????????????????????????????" xfId="107"/>
    <cellStyle name="?ðÇ%U?&amp;H?_x0008_?s&#10;_x0007__x0001__x0001_?_x0002_ÿÿÿÿÿÿÿÿÿÿÿÿÿÿÿ_x0001_(_x0002_?€????ÿÿÿÿ????_x0007_??????????????????????????           ?????           ?????????_x000d_C:\WINDOWS\country.sys_x000d_?????????????????????????????????????????????????????????????????????????????????????????????? 1" xfId="108"/>
    <cellStyle name="?ðÇ%U?&amp;H?_x0008_?s&#10;_x0007__x0001__x0001_?_x0002_ÿÿÿÿÿÿÿÿÿÿÿÿÿÿÿ_x0001_(_x0002_?€????ÿÿÿÿ????_x0007_??????????????????????????           ?????           ?????????_x000d_C:\WINDOWS\country.sys_x000d_??????????????????????????????????????????????????????????????????????????????????????????????_buld_bq(0111)" xfId="109"/>
    <cellStyle name="?ðÇ%U?&amp;H?_x0008_?s&#10;_x0007__x0001__x0001_?_x0002_ÿÿÿÿÿÿÿÿÿÿÿÿÿÿÿ_x0001_(_x0002_?????ÿÿÿÿ????_x0007_??????????????????????????           ?????           ?????????_x000d_C:\WINDOWS\country.sys_x000d_??????????????????????????????????????????????????????????????????????????????????????????????" xfId="110"/>
    <cellStyle name="?ðÇ%U?&amp;H?_x0008_?s&#10;_x0007__x0001__x0001_?_x0002_ÿÿÿÿÿÿÿÿÿÿÿÿÿÿÿ_x0001_(_x0002_?????ÿÿÿÿ????_x0007_??????????????????????????           ?????           ?????????_x000d_C:\WINDOWS\country.sys_x000d_?????????????????????????????????????????????????????????????????????????????????????????????? 1" xfId="111"/>
    <cellStyle name="?ðÇ%U?&amp;H?_x0008_?s&#10;_x0007__x0001__x0001_?_x0002_ÿÿÿÿÿÿÿÿÿÿÿÿÿÿÿ_x0001_(_x0002_?????ÿÿÿÿ????_x0007_??????????????????????????           ?????           ?????????_x000d_C:\WINDOWS\country.sys_x000d_??????????????????????????????????????????????????????????????????????????????????????????????_buld_bq(0111)" xfId="112"/>
    <cellStyle name="?I?I?_x0001_??j?_x0008_?h_x0001__x000c__x000c__x0002__x0002__x000c_!Comma [0]_Chi phÝ kh¸c_B¶ng 1 (2)?G_x001d_Comma [0]_Chi phÝ kh¸c_B¶ng 2?G$Comma [0]_Ch" xfId="113"/>
    <cellStyle name="?Sums?9^R—_x0008_????????????????????N_x0004__x0002__x0003_1?_x0014_" xfId="114"/>
    <cellStyle name="?Sums?9^R—_x0008_????????????????????N_x0004__x0002__x0003_1?_x0014_ 1" xfId="115"/>
    <cellStyle name="?Sums?9^R—_x0008_????????????????????N_x0004__x0002__x0003_1?_x0014__Book1" xfId="116"/>
    <cellStyle name="]KT (2)_5_Book1_2" xfId="117"/>
    <cellStyle name="_x0001__1" xfId="118"/>
    <cellStyle name="_1 DTKS Quoi Thien" xfId="119"/>
    <cellStyle name="_x0001__1.DE  LAN NAM ( 25-3-2013)" xfId="120"/>
    <cellStyle name="_x0001__1.DE  LAN NAM ( 25-3-2013)_1" xfId="121"/>
    <cellStyle name="_x0001__1.DE BAO CAI OT (7-7-2013)" xfId="122"/>
    <cellStyle name="_x0001__1.DE BAO CAI OT (7-7-2013)_1" xfId="123"/>
    <cellStyle name="_x0001__2.CONG DUOI DE QUOI DIEN (11-7-13)" xfId="124"/>
    <cellStyle name="_x0001__2.CONG DUOI DE QUOI DIEN (11-7-13)_1" xfId="125"/>
    <cellStyle name="_4 CHI PHI CAM MOC GPMB" xfId="126"/>
    <cellStyle name="_Au-De cuong va du toan Cau Số 2 phuoc long" xfId="127"/>
    <cellStyle name="_Au-De_cuong_va_du_toan_Hoa_Binh" xfId="128"/>
    <cellStyle name="_Bang Chi tieu (2)" xfId="129"/>
    <cellStyle name="_Bang Chi tieu (2)?_x001c_Comma [0]_Chi phÝ kh¸c_Book1?!Comma [0]_Chi phÝ kh¸c_Liªn ChiÓu?b_x001e_Comma [0]_Chi" xfId="130"/>
    <cellStyle name="_Bang Chi tieu (2)?_x001c_Comma [0]_Chi phÝ kh¸c_Book1?!Comma [0]_Chi phÝ kh¸c_Liªn ChiÓu?b_x001e_Comma [0]_Chi 1" xfId="131"/>
    <cellStyle name="_Bang Chi tieu (2)?_x001c_Comma [0]_Chi phÝ kh¸c_Book1?!Comma [0]_Chi phÝ kh¸c_Liªn ChiÓu?b_x001e_Comma [0]_Chi_1" xfId="132"/>
    <cellStyle name="_Bang Chi tieu (2)_1" xfId="133"/>
    <cellStyle name="_BANG NOI SUY cho 6.4ha" xfId="134"/>
    <cellStyle name="_Bao Gia 08" xfId="135"/>
    <cellStyle name="_Bao Gia 08_1" xfId="136"/>
    <cellStyle name="_BO KE THI TRAN TAN CHAU-GD2" xfId="137"/>
    <cellStyle name="_Book1" xfId="138"/>
    <cellStyle name="_Book1_1" xfId="139"/>
    <cellStyle name="_Book1_1_1" xfId="140"/>
    <cellStyle name="_Book1_1_1_1" xfId="141"/>
    <cellStyle name="_Book1_1_Book1" xfId="142"/>
    <cellStyle name="_Book1_1_Book1_1" xfId="143"/>
    <cellStyle name="_Book1_1_Book1_KHAO SAT TRA VINH" xfId="144"/>
    <cellStyle name="_Book1_1_Can Tho DINH MUC lao dong 20-09-2004" xfId="145"/>
    <cellStyle name="_Book1_1_GIAVLXD092010_1287366083109" xfId="146"/>
    <cellStyle name="_Book1_1_QD so 957" xfId="147"/>
    <cellStyle name="_Book1_2" xfId="148"/>
    <cellStyle name="_Book1_2.DT_CONG_MY SON DONG_ DC SAU THAM DINH" xfId="149"/>
    <cellStyle name="_Book1_2.DT_CONG_MY SON DONG_ DC SAU THAM DINH_1" xfId="150"/>
    <cellStyle name="_Book1_2_1" xfId="151"/>
    <cellStyle name="_Book1_2_KHAO SAT TRA VINH" xfId="152"/>
    <cellStyle name="_Book1_3" xfId="153"/>
    <cellStyle name="_Book1_3_KHAO SAT TRA VINH" xfId="154"/>
    <cellStyle name="_Book1_4" xfId="155"/>
    <cellStyle name="_Book1_BC-QT-WB-dthao" xfId="156"/>
    <cellStyle name="_Book1_BC-QT-WB-dthao_1" xfId="157"/>
    <cellStyle name="_Book1_BC-QT-WB-dthao_ks-diachaât caàu" xfId="158"/>
    <cellStyle name="_Book1_BC-QT-WB-dthao_ks-diachaât caàu_1" xfId="159"/>
    <cellStyle name="_Book1_BO KE THI TRAN TAN CHAU-GD2" xfId="160"/>
    <cellStyle name="_Book1_Book1" xfId="161"/>
    <cellStyle name="_Book1_Book1_1" xfId="162"/>
    <cellStyle name="_Book1_Book1_1_1" xfId="163"/>
    <cellStyle name="_Book1_Book1_1_1_1" xfId="164"/>
    <cellStyle name="_Book1_Book1_1_KHAO SAT TRA VINH" xfId="165"/>
    <cellStyle name="_Book1_Book1_2.DT_CONG_MY SON DONG_ DC SAU THAM DINH" xfId="166"/>
    <cellStyle name="_Book1_Book1_2.DT_CONG_MY SON DONG_ DC SAU THAM DINH_1" xfId="167"/>
    <cellStyle name="_Book1_Book1_Book1" xfId="168"/>
    <cellStyle name="_Book1_Book1_DT - TAN PHU TAY A " xfId="169"/>
    <cellStyle name="_Book1_Book1_DT - TAN PHU TAY A _1" xfId="170"/>
    <cellStyle name="_Book1_Book1_dt tham tra nha tram bien ap" xfId="171"/>
    <cellStyle name="_Book1_Book1_DU TOAN MAU" xfId="172"/>
    <cellStyle name="_Book1_Book1_DU TOAN MAU_1" xfId="173"/>
    <cellStyle name="_Book1_Book1_KHAO SAT TRA VINH" xfId="174"/>
    <cellStyle name="_Book1_Book1_KHOI LUONG DE CUC BO CAI TAC - THANH DIEN" xfId="175"/>
    <cellStyle name="_Book1_Book1_KHOI LUONG DE CUC BO CAI TAC - THANH DIEN_1" xfId="176"/>
    <cellStyle name="_Book1_Book1_SO TOAN KHOI LUONG DE DAI DIEN" xfId="177"/>
    <cellStyle name="_Book1_Book1_SO TOAN KHOI LUONG DE DAI DIEN_1" xfId="178"/>
    <cellStyle name="_Book1_Can Tho DINH MUC lao dong 20-09-2004" xfId="179"/>
    <cellStyle name="_Book1_CAP NUOC XUAN TO-TINH BIEN" xfId="180"/>
    <cellStyle name="_Book1_CHO SON HIEP-AN BINH" xfId="181"/>
    <cellStyle name="_Book1_Danglam-CVC-02-2-07-Duong-goi5-Bthuy-MT-TN" xfId="182"/>
    <cellStyle name="_Book1_dao huu co DONG DO tu Km16+453.33 den Km16+984.25" xfId="183"/>
    <cellStyle name="_Book1_DT - TAN PHU TAY A " xfId="184"/>
    <cellStyle name="_Book1_DT - TAN PHU TAY A _1" xfId="185"/>
    <cellStyle name="_Book1_DU TOAN MAU" xfId="186"/>
    <cellStyle name="_Book1_DU TOAN MAU_1" xfId="187"/>
    <cellStyle name="_Book1_du toan Petro" xfId="188"/>
    <cellStyle name="_Book1_DUONG TIEP NOI TDC KENH CHA VA - KENH QUYT" xfId="189"/>
    <cellStyle name="_Book1_DUONG TIEP NOI TDC KENH CHA VA - KENH QUYT-LAN 2" xfId="190"/>
    <cellStyle name="_Book1_file TDinh" xfId="191"/>
    <cellStyle name="_Book1_GIA CUA" xfId="192"/>
    <cellStyle name="_Book1_GIAO thau  TRUONG MN MUOI TAI" xfId="193"/>
    <cellStyle name="_Book1_GIAO thau  TRUONG MN MUOI TAI_1" xfId="194"/>
    <cellStyle name="_Book1_GIAO THONG" xfId="195"/>
    <cellStyle name="_Book1_GIAVLXD092010_1287366083109" xfId="196"/>
    <cellStyle name="_Book1_GT-KCN" xfId="197"/>
    <cellStyle name="_Book1_GuiChudautu-20-02-07-Thamtra-KDC-Mthan-TrNoc" xfId="198"/>
    <cellStyle name="_Book1_HA TANG KY THUAT" xfId="199"/>
    <cellStyle name="_Book1_HTCN-XA HOA BINH-CHO MOI" xfId="200"/>
    <cellStyle name="_Book1_HTGT" xfId="201"/>
    <cellStyle name="_Book1_HTGT-CDC BAC SON" xfId="202"/>
    <cellStyle name="_Book1_HTGT-TDC KENH CA MAU AP KIEN THANH 2" xfId="203"/>
    <cellStyle name="_Book1_HTGT-TDC NUI NOI MO RONG" xfId="204"/>
    <cellStyle name="_Book1_HTTN" xfId="205"/>
    <cellStyle name="_Book1_HTTN_1" xfId="206"/>
    <cellStyle name="_Book1_HTTN-LAN 2" xfId="207"/>
    <cellStyle name="_Book1_HTTN-TDC NUI NOI MO RONG" xfId="208"/>
    <cellStyle name="_Book1_KE BAO VE BO SONG HAU KHU VUC TRU SO TINH UY" xfId="209"/>
    <cellStyle name="_Book1_KHAO SAT" xfId="210"/>
    <cellStyle name="_Book1_KHO LUU TRU" xfId="211"/>
    <cellStyle name="_Book1_KHOI HANH-NHA NGHI TINH UY" xfId="212"/>
    <cellStyle name="_Book1_KHOI LUONG DE CUC BO CAI TAC - THANH DIEN" xfId="213"/>
    <cellStyle name="_Book1_KHOI LUONG DE CUC BO CAI TAC - THANH DIEN_1" xfId="214"/>
    <cellStyle name="_Book1_KHOI NHA CHINH" xfId="215"/>
    <cellStyle name="_Book1_KHOI THUC HANH" xfId="216"/>
    <cellStyle name="_Book1_KHOI XAY MOI" xfId="217"/>
    <cellStyle name="_Book1_lan 3" xfId="218"/>
    <cellStyle name="_Book1_Mau" xfId="219"/>
    <cellStyle name="_Book1_mauBCC" xfId="220"/>
    <cellStyle name="_Book1_MR TT GIOI THIEU VIEC LAM" xfId="221"/>
    <cellStyle name="_Book1_NCS-TIEU HOC A TAN CHAU" xfId="222"/>
    <cellStyle name="_Book1_NGHIA TRANG LS DOC BA DAC" xfId="223"/>
    <cellStyle name="_Book1_NHA HANG KS THANG LOI" xfId="224"/>
    <cellStyle name="_Book1_NHA LAM VIEC CHI NHANH DANG KIEM CHAU DOC" xfId="225"/>
    <cellStyle name="_Book1_Nha long cho bach hoa" xfId="226"/>
    <cellStyle name="_Book1_NHA VE SINH" xfId="227"/>
    <cellStyle name="_Book1_NLC-KHU DAN CU AP MY TAN" xfId="228"/>
    <cellStyle name="_Book1_PHUONG AN 1-TINH VET BUN" xfId="229"/>
    <cellStyle name="_Book1_QD so 957" xfId="230"/>
    <cellStyle name="_Book1_SO TOAN KHOI LUONG DE DAI DIEN" xfId="231"/>
    <cellStyle name="_Book1_SO TOAN KHOI LUONG DE DAI DIEN_1" xfId="232"/>
    <cellStyle name="_Book1_TDC CON TIEN" xfId="233"/>
    <cellStyle name="_Book1_thoat nuoc" xfId="234"/>
    <cellStyle name="_Book1_THOAT NUOC_1" xfId="235"/>
    <cellStyle name="_Book1_TIEU HOC A PHU HUU-BO SUNG" xfId="236"/>
    <cellStyle name="_Book1_TKHC-THOIQUAN-05-04-2004" xfId="237"/>
    <cellStyle name="_Book1_TKHC-THOIQUAN-05-04-2004_1" xfId="238"/>
    <cellStyle name="_Book1_TRAM Y TE PHUONG CHAU PHU A" xfId="239"/>
    <cellStyle name="_Book1_TRU SO HUYEN UY PHU TAN" xfId="240"/>
    <cellStyle name="_Book1_TRUNG TAM Y TE THOAI SON" xfId="241"/>
    <cellStyle name="_Book1_TRUONG MAU GIAO XA AN BINH" xfId="242"/>
    <cellStyle name="_Book1_TRUONG MAU GIAO XA VINH CHAU" xfId="243"/>
    <cellStyle name="_Book1_TRUONG THPT NGUYEN KHUYEN" xfId="244"/>
    <cellStyle name="_Book1_TRUONG THPT NGUYEN KHUYEN-LAN 2" xfId="245"/>
    <cellStyle name="_Book1_TRUONG THPT VINH BINH" xfId="246"/>
    <cellStyle name="_Book1_TTXLNT-TTKYT-TONG THE-LAN 3" xfId="247"/>
    <cellStyle name="_Book1_WC-BAC VAM NAO" xfId="248"/>
    <cellStyle name="_Book1_XA GO" xfId="249"/>
    <cellStyle name="_Book2" xfId="250"/>
    <cellStyle name="_Book2_1" xfId="251"/>
    <cellStyle name="_C CHIN TUYEN" xfId="252"/>
    <cellStyle name="_Can Tho DINH MUC lao dong 20-09-2004" xfId="253"/>
    <cellStyle name="_CAP NUOC XUAN TO-TINH BIEN" xfId="254"/>
    <cellStyle name="_CHI PHI KS GDTK KENH CAU SO 2-PL" xfId="255"/>
    <cellStyle name="_CHI PHI KS GDTK KENH HOA BINH" xfId="256"/>
    <cellStyle name="_CHO SON HIEP-AN BINH" xfId="257"/>
    <cellStyle name="_CONG 1.5.xls" xfId="258"/>
    <cellStyle name="_Cong K2+190" xfId="259"/>
    <cellStyle name="_Cong K2+190 ( cuoi )" xfId="260"/>
    <cellStyle name="_CONG KENH 12" xfId="261"/>
    <cellStyle name="_Copy of CAU CHIN TUYEN" xfId="262"/>
    <cellStyle name="_DMdieuchinh _1c" xfId="263"/>
    <cellStyle name="_DMdieuchinh _1c_1" xfId="264"/>
    <cellStyle name="_DT CCAU SO 2" xfId="265"/>
    <cellStyle name="_DT Cong 2PHI 100 BONAM KENH XA NU" xfId="266"/>
    <cellStyle name="_DT CONG BA CHUA (-1.5)" xfId="267"/>
    <cellStyle name="_dt tham tra nha tram bien ap" xfId="268"/>
    <cellStyle name="_DT tinh du phong" xfId="269"/>
    <cellStyle name="_DTCT(tinh DP truot gia)" xfId="270"/>
    <cellStyle name="_DTRTra10-06" xfId="271"/>
    <cellStyle name="_DTRTra10-06_1 DT CONG BTCT Þ1000" xfId="272"/>
    <cellStyle name="_DTRTra10-06_2 DT CONG BTCT Þ1000 - goi thau 2-t1 ook" xfId="273"/>
    <cellStyle name="_DTRTra10-06_2.DT_CONG_MY SON DONG_ DC SAU THAM DINH" xfId="274"/>
    <cellStyle name="_DTRTra10-06_2.DT_CONG_MY SON DONG_ DC SAU THAM DINH_Khối lượng hoàn thành" xfId="275"/>
    <cellStyle name="_DTRTra10-06_4 TONG DU TOAN (3-2012)" xfId="276"/>
    <cellStyle name="_DTRTra10-06_ben pha kenh xang xeo ro-thamdinh" xfId="277"/>
    <cellStyle name="_DTRTra10-06_CAU CHIN TUYEN" xfId="278"/>
    <cellStyle name="_DTRTra10-06_CONG NGANG DUONG" xfId="279"/>
    <cellStyle name="_DTRTra10-06_CONG NGANG DUONG -" xfId="280"/>
    <cellStyle name="_DTRTra10-06_da sua - 4 DU TOAN CAU BAN KENH MUONG LO" xfId="281"/>
    <cellStyle name="_DTRTra10-06_DT - TAN PHU TAY A " xfId="282"/>
    <cellStyle name="_DTRTra10-06_DT - TAN PHU TAY A _Khối lượng hoàn thành" xfId="283"/>
    <cellStyle name="_DTRTra10-06_DT CAU" xfId="284"/>
    <cellStyle name="_DTRTra10-06_DT CAU 7 SUOL-Thamdinh" xfId="285"/>
    <cellStyle name="_DTRTra10-06_DT CAU KIEM LAM-thamdinh" xfId="286"/>
    <cellStyle name="_DTRTra10-06_DT CONG-thamdinh" xfId="287"/>
    <cellStyle name="_DTRTra10-06_DT KENH KHU 2-thamdinh" xfId="288"/>
    <cellStyle name="_DTRTra10-06_duong giong nhan ganh hao - cong ngang duong" xfId="289"/>
    <cellStyle name="_DTRTra10-06_Duong Giong Nhan Ganh Hao - Duong giao thong" xfId="290"/>
    <cellStyle name="_DTRTra10-06_DUONG -GOI THAU 2" xfId="291"/>
    <cellStyle name="_DTRTra10-06_DUONG TUYEN -goi thau 1" xfId="292"/>
    <cellStyle name="_DTRTra10-06_KHOI LUONG DE CUC BO CAI TAC - THANH DIEN" xfId="293"/>
    <cellStyle name="_DTRTra10-06_KHOI LUONG DE CUC BO CAI TAC - THANH DIEN_Khối lượng hoàn thành" xfId="294"/>
    <cellStyle name="_DTRTra10-06_KL-DH" xfId="295"/>
    <cellStyle name="_DTRTra10-06_KL-DH_da sua - 4 DU TOAN CAU BAN KENH MUONG LO" xfId="296"/>
    <cellStyle name="_DTRTra10-06_KL-DH_DT CONG-thamdinh" xfId="297"/>
    <cellStyle name="_DTRTra10-06_KL-DHDM" xfId="298"/>
    <cellStyle name="_DTRTra10-06_KL-DHDM_da sua - 4 DU TOAN CAU BAN KENH MUONG LO" xfId="299"/>
    <cellStyle name="_DTRTra10-06_KL-DHDM_DT CONG-thamdinh" xfId="300"/>
    <cellStyle name="_DTRTra10-06_KL-DHK" xfId="301"/>
    <cellStyle name="_DTRTra10-06_KL-DHK_da sua - 4 DU TOAN CAU BAN KENH MUONG LO" xfId="302"/>
    <cellStyle name="_DTRTra10-06_KL-DHK_DT CONG-thamdinh" xfId="303"/>
    <cellStyle name="_DTRTra10-06_KS - DE BAO SONG CAI OT" xfId="304"/>
    <cellStyle name="_DTRTra10-06_KS - DE BAO SONG CAI OT_Khối lượng hoàn thành" xfId="305"/>
    <cellStyle name="_DTRTra10-06_KS - DE BAOCAI TAT - THANH DIEN" xfId="306"/>
    <cellStyle name="_DTRTra10-06_KS - DE BAOCAI TAT - THANH DIEN_Khối lượng hoàn thành" xfId="307"/>
    <cellStyle name="_DTRTra10-06_KS - DE LAN NAM_CHO LACH" xfId="308"/>
    <cellStyle name="_DTRTra10-06_KS - DE LAN NAM_CHO LACH_AD" xfId="309"/>
    <cellStyle name="_DTRTra10-06_KS - DE LAN NAM_CHO LACH_AD_Khối lượng hoàn thành" xfId="310"/>
    <cellStyle name="_DTRTra10-06_KS - DE LAN NAM_CHO LACH_Khối lượng hoàn thành" xfId="311"/>
    <cellStyle name="_DTRTra10-06_KS - DE VEN SONG HAM LUONG_DAI DIEN " xfId="312"/>
    <cellStyle name="_DTRTra10-06_KS - DE VEN SONG HAM LUONG_DAI DIEN _Khối lượng hoàn thành" xfId="313"/>
    <cellStyle name="_DTRTra10-06_SO TOAN KHOI LUONG DE DAI DIEN" xfId="314"/>
    <cellStyle name="_DTRTra10-06_SO TOAN KHOI LUONG DE DAI DIEN_Khối lượng hoàn thành" xfId="315"/>
    <cellStyle name="_DTRTra10-06_TK cong" xfId="316"/>
    <cellStyle name="_Du phong Cong Tha La" xfId="317"/>
    <cellStyle name="_du toan bo sung TK Krong buk" xfId="318"/>
    <cellStyle name="_Du toan Mau" xfId="319"/>
    <cellStyle name="_DU TOAN MAU_1" xfId="320"/>
    <cellStyle name="_du toan Petro" xfId="321"/>
    <cellStyle name="_du toan Petro (version 1)" xfId="322"/>
    <cellStyle name="_DUONG TIEP NOI TDC KENH CHA VA - KENH QUYT" xfId="323"/>
    <cellStyle name="_DUONG TIEP NOI TDC KENH CHA VA - KENH QUYT-LAN 2" xfId="324"/>
    <cellStyle name="_file TDinh" xfId="325"/>
    <cellStyle name="_GIA CUA" xfId="326"/>
    <cellStyle name="_Giai Doan 3 Hong Ngu" xfId="327"/>
    <cellStyle name="_Giai Doan 3 Hong Ngu_1" xfId="328"/>
    <cellStyle name="_Giai Doan 3 Hong Ngu_Book1" xfId="329"/>
    <cellStyle name="_GIAO THONG" xfId="330"/>
    <cellStyle name="_GIAVLXD092010_1287366083109" xfId="331"/>
    <cellStyle name="_GT21_ CONG TIEU Þ60" xfId="332"/>
    <cellStyle name="_GT-KCN" xfId="333"/>
    <cellStyle name="_GVL10" xfId="334"/>
    <cellStyle name="_GVL4" xfId="335"/>
    <cellStyle name="_GVL4_2.DT_CONG_MY SON DONG_ DC SAU THAM DINH" xfId="336"/>
    <cellStyle name="_GVL4_2.DT_CONG_MY SON DONG_ DC SAU THAM DINH_Khối lượng hoàn thành" xfId="337"/>
    <cellStyle name="_GVL4_DT - TAN PHU TAY A " xfId="338"/>
    <cellStyle name="_GVL4_DT - TAN PHU TAY A _Khối lượng hoàn thành" xfId="339"/>
    <cellStyle name="_GVL4_KHOI LUONG DE CUC BO CAI TAC - THANH DIEN" xfId="340"/>
    <cellStyle name="_GVL4_KHOI LUONG DE CUC BO CAI TAC - THANH DIEN_Khối lượng hoàn thành" xfId="341"/>
    <cellStyle name="_GVL4_KS - DE BAO SONG CAI OT" xfId="342"/>
    <cellStyle name="_GVL4_KS - DE BAO SONG CAI OT_Khối lượng hoàn thành" xfId="343"/>
    <cellStyle name="_GVL4_KS - DE BAOCAI TAT - THANH DIEN" xfId="344"/>
    <cellStyle name="_GVL4_KS - DE BAOCAI TAT - THANH DIEN_Khối lượng hoàn thành" xfId="345"/>
    <cellStyle name="_GVL4_KS - DE LAN NAM_CHO LACH" xfId="346"/>
    <cellStyle name="_GVL4_KS - DE LAN NAM_CHO LACH_AD" xfId="347"/>
    <cellStyle name="_GVL4_KS - DE LAN NAM_CHO LACH_AD_Khối lượng hoàn thành" xfId="348"/>
    <cellStyle name="_GVL4_KS - DE LAN NAM_CHO LACH_Khối lượng hoàn thành" xfId="349"/>
    <cellStyle name="_GVL4_KS - DE VEN SONG HAM LUONG_DAI DIEN " xfId="350"/>
    <cellStyle name="_GVL4_KS - DE VEN SONG HAM LUONG_DAI DIEN _Khối lượng hoàn thành" xfId="351"/>
    <cellStyle name="_GVL4_SO TOAN KHOI LUONG DE DAI DIEN" xfId="352"/>
    <cellStyle name="_GVL4_SO TOAN KHOI LUONG DE DAI DIEN_Khối lượng hoàn thành" xfId="353"/>
    <cellStyle name="_GVLmoi" xfId="354"/>
    <cellStyle name="_HA TANG KY THUAT" xfId="355"/>
    <cellStyle name="_HTCN-XA HOA BINH-CHO MOI" xfId="356"/>
    <cellStyle name="_HTGT" xfId="357"/>
    <cellStyle name="_HTGT-CDC BAC SON" xfId="358"/>
    <cellStyle name="_HTGT-TDC KENH CA MAU AP KIEN THANH 2" xfId="359"/>
    <cellStyle name="_HTGT-TDC NUI NOI MO RONG" xfId="360"/>
    <cellStyle name="_HTTN" xfId="361"/>
    <cellStyle name="_HTTN_1" xfId="362"/>
    <cellStyle name="_HTTN-LAN 2" xfId="363"/>
    <cellStyle name="_HTTN-TDC NUI NOI MO RONG" xfId="364"/>
    <cellStyle name="_in ho so 14-3-2008_TBT" xfId="365"/>
    <cellStyle name="_in ho so 14-3-2008_TBT_dao huu co DONG DO tu Km16+453.33 den Km16+984.25" xfId="366"/>
    <cellStyle name="_in_HVL_LAN-2_SUA DON GIA" xfId="367"/>
    <cellStyle name="_k2+700" xfId="368"/>
    <cellStyle name="_KE BAO VE BO SONG HAU KHU VUC TRU SO TINH UY" xfId="369"/>
    <cellStyle name="_KE LUONG THUC" xfId="370"/>
    <cellStyle name="_KE LUONG THUC111" xfId="371"/>
    <cellStyle name="_Ke met wa" xfId="372"/>
    <cellStyle name="_KE THA LA" xfId="373"/>
    <cellStyle name="_KENH T11-1 R" xfId="374"/>
    <cellStyle name="_KENH T11-6(MAU_ISO)" xfId="375"/>
    <cellStyle name="_KHAO SAT" xfId="376"/>
    <cellStyle name="_x0001__KHAO SAT TRA VINH" xfId="377"/>
    <cellStyle name="_KHOI HANH-NHA NGHI TINH UY" xfId="378"/>
    <cellStyle name="_KHOI NHA CHINH" xfId="379"/>
    <cellStyle name="_KHOI THUC HANH" xfId="380"/>
    <cellStyle name="_KHOI XAY MOI" xfId="381"/>
    <cellStyle name="_KLKS TK-8 cong kenh hau" xfId="382"/>
    <cellStyle name="_KT (2)" xfId="383"/>
    <cellStyle name="_KT (2)_1" xfId="384"/>
    <cellStyle name="_KT (2)_1_1" xfId="385"/>
    <cellStyle name="_KT (2)_1_BO KE THI TRAN TAN CHAU-GD2" xfId="386"/>
    <cellStyle name="_KT (2)_1_Book1" xfId="387"/>
    <cellStyle name="_KT (2)_1_Book1_1" xfId="388"/>
    <cellStyle name="_KT (2)_1_CAP NUOC XUAN TO-TINH BIEN" xfId="389"/>
    <cellStyle name="_KT (2)_1_CHO SON HIEP-AN BINH" xfId="390"/>
    <cellStyle name="_KT (2)_1_DUONG TIEP NOI TDC KENH CHA VA - KENH QUYT" xfId="391"/>
    <cellStyle name="_KT (2)_1_DUONG TIEP NOI TDC KENH CHA VA - KENH QUYT-LAN 2" xfId="392"/>
    <cellStyle name="_KT (2)_1_GIA CUA" xfId="393"/>
    <cellStyle name="_KT (2)_1_GIAO THONG" xfId="394"/>
    <cellStyle name="_KT (2)_1_GT-KCN" xfId="395"/>
    <cellStyle name="_KT (2)_1_HA TANG KY THUAT" xfId="396"/>
    <cellStyle name="_KT (2)_1_HTCN-XA HOA BINH-CHO MOI" xfId="397"/>
    <cellStyle name="_KT (2)_1_HTGT" xfId="398"/>
    <cellStyle name="_KT (2)_1_HTGT-CDC BAC SON" xfId="399"/>
    <cellStyle name="_KT (2)_1_HTGT-TDC KENH CA MAU AP KIEN THANH 2" xfId="400"/>
    <cellStyle name="_KT (2)_1_HTGT-TDC NUI NOI MO RONG" xfId="401"/>
    <cellStyle name="_KT (2)_1_HTTN" xfId="402"/>
    <cellStyle name="_KT (2)_1_HTTN_1" xfId="403"/>
    <cellStyle name="_KT (2)_1_HTTN-LAN 2" xfId="404"/>
    <cellStyle name="_KT (2)_1_HTTN-TDC NUI NOI MO RONG" xfId="405"/>
    <cellStyle name="_KT (2)_1_KE BAO VE BO SONG HAU KHU VUC TRU SO TINH UY" xfId="406"/>
    <cellStyle name="_KT (2)_1_KHAO SAT" xfId="407"/>
    <cellStyle name="_KT (2)_1_KHOI HANH-NHA NGHI TINH UY" xfId="408"/>
    <cellStyle name="_KT (2)_1_KHOI NHA CHINH" xfId="409"/>
    <cellStyle name="_KT (2)_1_KHOI THUC HANH" xfId="410"/>
    <cellStyle name="_KT (2)_1_KHOI XAY MOI" xfId="411"/>
    <cellStyle name="_KT (2)_1_lan 3" xfId="412"/>
    <cellStyle name="_KT (2)_1_Lora-tungchau" xfId="413"/>
    <cellStyle name="_KT (2)_1_Lora-tungchau_1" xfId="414"/>
    <cellStyle name="_KT (2)_1_Mau" xfId="415"/>
    <cellStyle name="_KT (2)_1_MR TT GIOI THIEU VIEC LAM" xfId="416"/>
    <cellStyle name="_KT (2)_1_NCS-TIEU HOC A TAN CHAU" xfId="417"/>
    <cellStyle name="_KT (2)_1_NGHIA TRANG LS DOC BA DAC" xfId="418"/>
    <cellStyle name="_KT (2)_1_NHA HANG KS THANG LOI" xfId="419"/>
    <cellStyle name="_KT (2)_1_NHA LAM VIEC CHI NHANH DANG KIEM CHAU DOC" xfId="420"/>
    <cellStyle name="_KT (2)_1_Nha long cho bach hoa" xfId="421"/>
    <cellStyle name="_KT (2)_1_NHA VE SINH" xfId="422"/>
    <cellStyle name="_KT (2)_1_NLC-KHU DAN CU AP MY TAN" xfId="423"/>
    <cellStyle name="_KT (2)_1_PHUONG AN 1-TINH VET BUN" xfId="424"/>
    <cellStyle name="_KT (2)_1_Qt-HT3PQ1(CauKho)" xfId="425"/>
    <cellStyle name="_KT (2)_1_Qt-HT3PQ1(CauKho)_1" xfId="426"/>
    <cellStyle name="_KT (2)_1_Qt-HT3PQ1(CauKho)_Don gia quy 3 nam 2003 - Ban Dien Luc" xfId="427"/>
    <cellStyle name="_KT (2)_1_Qt-HT3PQ1(CauKho)_Don gia quy 3 nam 2003 - Ban Dien Luc_1" xfId="428"/>
    <cellStyle name="_KT (2)_1_Qt-HT3PQ1(CauKho)_Don gia quy 3 nam 2003 - Ban Dien Luc_ks-diachaât caàu" xfId="429"/>
    <cellStyle name="_KT (2)_1_Qt-HT3PQ1(CauKho)_Don gia quy 3 nam 2003 - Ban Dien Luc_ks-diachaât caàu_1" xfId="430"/>
    <cellStyle name="_KT (2)_1_Qt-HT3PQ1(CauKho)_ks-diachaât caàu" xfId="431"/>
    <cellStyle name="_KT (2)_1_Qt-HT3PQ1(CauKho)_ks-diachaât caàu_1" xfId="432"/>
    <cellStyle name="_KT (2)_1_Qt-HT3PQ1(CauKho)_NC-VL2-2003" xfId="433"/>
    <cellStyle name="_KT (2)_1_Qt-HT3PQ1(CauKho)_NC-VL2-2003_1" xfId="434"/>
    <cellStyle name="_KT (2)_1_Qt-HT3PQ1(CauKho)_NC-VL2-2003_1_1" xfId="435"/>
    <cellStyle name="_KT (2)_1_Qt-HT3PQ1(CauKho)_NC-VL2-2003_1_1_1" xfId="436"/>
    <cellStyle name="_KT (2)_1_Qt-HT3PQ1(CauKho)_NC-VL2-2003_1_ks-diachaât caàu" xfId="437"/>
    <cellStyle name="_KT (2)_1_Qt-HT3PQ1(CauKho)_NC-VL2-2003_1_ks-diachaât caàu_1" xfId="438"/>
    <cellStyle name="_KT (2)_1_Qt-HT3PQ1(CauKho)_XL4Test5" xfId="439"/>
    <cellStyle name="_KT (2)_1_Qt-HT3PQ1(CauKho)_XL4Test5_1" xfId="440"/>
    <cellStyle name="_KT (2)_1_Qt-HT3PQ1(CauKho)_XL4Test5_1_1" xfId="441"/>
    <cellStyle name="_KT (2)_1_Qt-HT3PQ1(CauKho)_XL4Test5_1_1_1" xfId="442"/>
    <cellStyle name="_KT (2)_1_Qt-HT3PQ1(CauKho)_XL4Test5_ks-diachaât caàu" xfId="443"/>
    <cellStyle name="_KT (2)_1_Qt-HT3PQ1(CauKho)_XL4Test5_ks-diachaât caàu_1" xfId="444"/>
    <cellStyle name="_KT (2)_1_TDC CON TIEN" xfId="445"/>
    <cellStyle name="_KT (2)_1_thoat nuoc" xfId="446"/>
    <cellStyle name="_KT (2)_1_THOAT NUOC_1" xfId="447"/>
    <cellStyle name="_KT (2)_1_TIEU HOC A PHU HUU-BO SUNG" xfId="448"/>
    <cellStyle name="_KT (2)_1_TN Kenh Thay  Ban" xfId="449"/>
    <cellStyle name="_KT (2)_1_TRAM Y TE PHUONG CHAU PHU A" xfId="450"/>
    <cellStyle name="_KT (2)_1_TRU SO HUYEN UY PHU TAN" xfId="451"/>
    <cellStyle name="_KT (2)_1_TRUNG TAM Y TE THOAI SON" xfId="452"/>
    <cellStyle name="_KT (2)_1_TRUONG MAU GIAO XA AN BINH" xfId="453"/>
    <cellStyle name="_KT (2)_1_TRUONG MAU GIAO XA MY PHU DONG" xfId="454"/>
    <cellStyle name="_KT (2)_1_TRUONG MAU GIAO XA VINH CHAU" xfId="455"/>
    <cellStyle name="_KT (2)_1_TRUONG THPT NGUYEN KHUYEN" xfId="456"/>
    <cellStyle name="_KT (2)_1_TRUONG THPT NGUYEN KHUYEN-LAN 2" xfId="457"/>
    <cellStyle name="_KT (2)_1_TRUONG THPT VINH BINH" xfId="458"/>
    <cellStyle name="_KT (2)_1_TTXLNT-TTKYT-TONG THE-LAN 3" xfId="459"/>
    <cellStyle name="_KT (2)_1_WC-BAC VAM NAO" xfId="460"/>
    <cellStyle name="_KT (2)_1_XA GO" xfId="461"/>
    <cellStyle name="_KT (2)_2" xfId="462"/>
    <cellStyle name="_KT (2)_2.DT_CONG_MY SON DONG_ DC SAU THAM DINH" xfId="463"/>
    <cellStyle name="_KT (2)_2.DT_CONG_MY SON DONG_ DC SAU THAM DINH_1" xfId="464"/>
    <cellStyle name="_KT (2)_2_1" xfId="465"/>
    <cellStyle name="_KT (2)_2_2.DT_CONG_MY SON DONG_ DC SAU THAM DINH" xfId="466"/>
    <cellStyle name="_KT (2)_2_2.DT_CONG_MY SON DONG_ DC SAU THAM DINH_1" xfId="467"/>
    <cellStyle name="_KT (2)_2_Book1" xfId="468"/>
    <cellStyle name="_KT (2)_2_Book1_1" xfId="469"/>
    <cellStyle name="_KT (2)_2_Book2" xfId="470"/>
    <cellStyle name="_KT (2)_2_Book2_1" xfId="471"/>
    <cellStyle name="_KT (2)_2_C CHIN TUYEN" xfId="472"/>
    <cellStyle name="_KT (2)_2_CONG 1.5.xls" xfId="473"/>
    <cellStyle name="_KT (2)_2_Cong K2+190" xfId="474"/>
    <cellStyle name="_KT (2)_2_Cong K2+190 ( cuoi )" xfId="475"/>
    <cellStyle name="_KT (2)_2_CONG KENH 12" xfId="476"/>
    <cellStyle name="_KT (2)_2_Copy of CAU CHIN TUYEN" xfId="477"/>
    <cellStyle name="_KT (2)_2_DT - TAN PHU TAY A " xfId="478"/>
    <cellStyle name="_KT (2)_2_DT - TAN PHU TAY A _1" xfId="479"/>
    <cellStyle name="_KT (2)_2_DT CCAU SO 2" xfId="480"/>
    <cellStyle name="_KT (2)_2_DT Cong 2PHI 100 BONAM KENH XA NU" xfId="481"/>
    <cellStyle name="_KT (2)_2_DT CONG BA CHUA (-1.5)" xfId="482"/>
    <cellStyle name="_KT (2)_2_Du phong Cong Tha La" xfId="483"/>
    <cellStyle name="_KT (2)_2_Du toan Mau" xfId="484"/>
    <cellStyle name="_KT (2)_2_DU TOAN MAU_1" xfId="485"/>
    <cellStyle name="_KT (2)_2_GIAVLXD092010_1287366083109" xfId="486"/>
    <cellStyle name="_KT (2)_2_GT21_ CONG TIEU Þ60" xfId="487"/>
    <cellStyle name="_KT (2)_2_GVL4" xfId="488"/>
    <cellStyle name="_KT (2)_2_GVL4_1" xfId="489"/>
    <cellStyle name="_KT (2)_2_GVLmoi" xfId="490"/>
    <cellStyle name="_KT (2)_2_k2+700" xfId="491"/>
    <cellStyle name="_KT (2)_2_KE LUONG THUC" xfId="492"/>
    <cellStyle name="_KT (2)_2_KE LUONG THUC111" xfId="493"/>
    <cellStyle name="_KT (2)_2_Ke met wa" xfId="494"/>
    <cellStyle name="_KT (2)_2_KE THA LA" xfId="495"/>
    <cellStyle name="_KT (2)_2_KHAO SAT" xfId="496"/>
    <cellStyle name="_KT (2)_2_khao sat Du an" xfId="497"/>
    <cellStyle name="_KT (2)_2_KHAO SAT TRA VINH" xfId="498"/>
    <cellStyle name="_KT (2)_2_KHIN PHI KENH T6" xfId="499"/>
    <cellStyle name="_KT (2)_2_KHOI LUONG DE CUC BO CAI TAC - THANH DIEN" xfId="500"/>
    <cellStyle name="_KT (2)_2_KHOI LUONG DE CUC BO CAI TAC - THANH DIEN_1" xfId="501"/>
    <cellStyle name="_KT (2)_2_KLKS TK-8 cong kenh hau" xfId="502"/>
    <cellStyle name="_KT (2)_2_KS - DE BAO SONG CAI OT" xfId="503"/>
    <cellStyle name="_KT (2)_2_KS - DE BAO SONG CAI OT_1" xfId="504"/>
    <cellStyle name="_KT (2)_2_KS - DE BAOCAI TAT - THANH DIEN" xfId="505"/>
    <cellStyle name="_KT (2)_2_KS - DE BAOCAI TAT - THANH DIEN_1" xfId="506"/>
    <cellStyle name="_KT (2)_2_KS - DE LAN NAM_CHO LACH" xfId="507"/>
    <cellStyle name="_KT (2)_2_KS - DE LAN NAM_CHO LACH_1" xfId="508"/>
    <cellStyle name="_KT (2)_2_KS - DE LAN NAM_CHO LACH_AD" xfId="509"/>
    <cellStyle name="_KT (2)_2_KS - DE LAN NAM_CHO LACH_AD_1" xfId="510"/>
    <cellStyle name="_KT (2)_2_KS - DE VEN SONG HAM LUONG_DAI DIEN " xfId="511"/>
    <cellStyle name="_KT (2)_2_KS - DE VEN SONG HAM LUONG_DAI DIEN _1" xfId="512"/>
    <cellStyle name="_KT (2)_2_QD so 957" xfId="513"/>
    <cellStyle name="_KT (2)_2_SO TOAN KHOI LUONG DE DAI DIEN" xfId="514"/>
    <cellStyle name="_KT (2)_2_SO TOAN KHOI LUONG DE DAI DIEN_1" xfId="515"/>
    <cellStyle name="_KT (2)_2_STKL KE BAC LIEU" xfId="516"/>
    <cellStyle name="_KT (2)_2_STKL NGACAITRONG" xfId="517"/>
    <cellStyle name="_KT (2)_2_TG-TH" xfId="518"/>
    <cellStyle name="_KT (2)_2_TG-TH_1" xfId="519"/>
    <cellStyle name="_KT (2)_2_TG-TH_2.DT_CONG_MY SON DONG_ DC SAU THAM DINH" xfId="520"/>
    <cellStyle name="_KT (2)_2_TG-TH_2.DT_CONG_MY SON DONG_ DC SAU THAM DINH_1" xfId="521"/>
    <cellStyle name="_KT (2)_2_TG-TH_BAO CAO KLCT PT2000" xfId="522"/>
    <cellStyle name="_KT (2)_2_TG-TH_BAO CAO KLCT PT2000_1" xfId="523"/>
    <cellStyle name="_KT (2)_2_TG-TH_BAO CAO PT2000" xfId="524"/>
    <cellStyle name="_KT (2)_2_TG-TH_BAO CAO PT2000_1" xfId="525"/>
    <cellStyle name="_KT (2)_2_TG-TH_BAO CAO PT2000_Book1" xfId="526"/>
    <cellStyle name="_KT (2)_2_TG-TH_BAO CAO PT2000_Book1_1" xfId="527"/>
    <cellStyle name="_KT (2)_2_TG-TH_BAO CAO PT2000_Book1_ks-diachaât caàu" xfId="528"/>
    <cellStyle name="_KT (2)_2_TG-TH_BAO CAO PT2000_Book1_ks-diachaât caàu_1" xfId="529"/>
    <cellStyle name="_KT (2)_2_TG-TH_Bao cao XDCB 2001 - T11 KH dieu chinh 20-11-THAI" xfId="530"/>
    <cellStyle name="_KT (2)_2_TG-TH_Bao cao XDCB 2001 - T11 KH dieu chinh 20-11-THAI_1" xfId="531"/>
    <cellStyle name="_KT (2)_2_TG-TH_Book1" xfId="532"/>
    <cellStyle name="_KT (2)_2_TG-TH_Book1_1" xfId="533"/>
    <cellStyle name="_KT (2)_2_TG-TH_Book1_1 DTKS Quoi Thien" xfId="534"/>
    <cellStyle name="_KT (2)_2_TG-TH_Book1_1_1" xfId="535"/>
    <cellStyle name="_KT (2)_2_TG-TH_Book1_1_1_1" xfId="536"/>
    <cellStyle name="_KT (2)_2_TG-TH_Book1_1_Book1" xfId="537"/>
    <cellStyle name="_KT (2)_2_TG-TH_Book1_1_Book1_1" xfId="538"/>
    <cellStyle name="_KT (2)_2_TG-TH_Book1_1_Book1_Book1" xfId="539"/>
    <cellStyle name="_KT (2)_2_TG-TH_Book1_1_Book1_dt tham tra nha tram bien ap" xfId="540"/>
    <cellStyle name="_KT (2)_2_TG-TH_Book1_1_Book1_KHAO SAT TRA VINH" xfId="541"/>
    <cellStyle name="_KT (2)_2_TG-TH_Book1_1_Can Tho DINH MUC lao dong 20-09-2004" xfId="542"/>
    <cellStyle name="_KT (2)_2_TG-TH_Book1_1_CDC PHU LAC XA HOA LAC" xfId="543"/>
    <cellStyle name="_KT (2)_2_TG-TH_Book1_1_congPhuThoAAAAA" xfId="544"/>
    <cellStyle name="_KT (2)_2_TG-TH_Book1_1_Danglam-CVC-02-2-07-Duong-goi5-Bthuy-MT-TN" xfId="545"/>
    <cellStyle name="_KT (2)_2_TG-TH_Book1_1_DanhMucDonGiaVTTB_Dien_TAM" xfId="546"/>
    <cellStyle name="_KT (2)_2_TG-TH_Book1_1_DanhMucDonGiaVTTB_Dien_TAM_1" xfId="547"/>
    <cellStyle name="_KT (2)_2_TG-TH_Book1_1_du toan Petro" xfId="548"/>
    <cellStyle name="_KT (2)_2_TG-TH_Book1_1_file TDinh" xfId="549"/>
    <cellStyle name="_KT (2)_2_TG-TH_Book1_1_GIAVLXD092010_1287366083109" xfId="550"/>
    <cellStyle name="_KT (2)_2_TG-TH_Book1_1_GuiChudautu-20-02-07-Thamtra-KDC-Mthan-TrNoc" xfId="551"/>
    <cellStyle name="_KT (2)_2_TG-TH_Book1_1_QD so 957" xfId="552"/>
    <cellStyle name="_KT (2)_2_TG-TH_Book1_2" xfId="553"/>
    <cellStyle name="_KT (2)_2_TG-TH_Book1_2.DT_CONG_MY SON DONG_ DC SAU THAM DINH" xfId="554"/>
    <cellStyle name="_KT (2)_2_TG-TH_Book1_2.DT_CONG_MY SON DONG_ DC SAU THAM DINH_1" xfId="555"/>
    <cellStyle name="_KT (2)_2_TG-TH_Book1_2_1" xfId="556"/>
    <cellStyle name="_KT (2)_2_TG-TH_Book1_2_Book1" xfId="557"/>
    <cellStyle name="_KT (2)_2_TG-TH_Book1_2_Book1_cu xeo chac dc theo Nien" xfId="558"/>
    <cellStyle name="_KT (2)_2_TG-TH_Book1_2_congPhuThoAAAAA" xfId="559"/>
    <cellStyle name="_KT (2)_2_TG-TH_Book1_2_cu xeo chac dc theo Nien" xfId="560"/>
    <cellStyle name="_KT (2)_2_TG-TH_Book1_2_dt tham tra nha tram bien ap" xfId="561"/>
    <cellStyle name="_KT (2)_2_TG-TH_Book1_2_KHAO SAT TRA VINH" xfId="562"/>
    <cellStyle name="_KT (2)_2_TG-TH_Book1_2_Thuyet minh cau vuot" xfId="563"/>
    <cellStyle name="_KT (2)_2_TG-TH_Book1_3" xfId="564"/>
    <cellStyle name="_KT (2)_2_TG-TH_Book1_3_1" xfId="565"/>
    <cellStyle name="_KT (2)_2_TG-TH_Book1_3_Book1" xfId="566"/>
    <cellStyle name="_KT (2)_2_TG-TH_Book1_3_Book1_cu xeo chac dc theo Nien" xfId="567"/>
    <cellStyle name="_KT (2)_2_TG-TH_Book1_3_cu xeo chac dc theo Nien" xfId="568"/>
    <cellStyle name="_KT (2)_2_TG-TH_Book1_3_dt tham tra nha tram bien ap" xfId="569"/>
    <cellStyle name="_KT (2)_2_TG-TH_Book1_3_KHAO SAT TRA VINH" xfId="570"/>
    <cellStyle name="_KT (2)_2_TG-TH_Book1_3_Thuyet minh cau vuot" xfId="571"/>
    <cellStyle name="_KT (2)_2_TG-TH_Book1_4" xfId="572"/>
    <cellStyle name="_KT (2)_2_TG-TH_Book1_4 CHI PHI CAM MOC GPMB" xfId="573"/>
    <cellStyle name="_KT (2)_2_TG-TH_Book1_4_1" xfId="574"/>
    <cellStyle name="_KT (2)_2_TG-TH_Book1_5" xfId="575"/>
    <cellStyle name="_KT (2)_2_TG-TH_Book1_Book1" xfId="576"/>
    <cellStyle name="_KT (2)_2_TG-TH_Book1_Book1_1" xfId="577"/>
    <cellStyle name="_KT (2)_2_TG-TH_Book1_Book1_1_1" xfId="578"/>
    <cellStyle name="_KT (2)_2_TG-TH_Book1_Book1_1_1_1" xfId="579"/>
    <cellStyle name="_KT (2)_2_TG-TH_Book1_Book1_1_Book1" xfId="580"/>
    <cellStyle name="_KT (2)_2_TG-TH_Book1_Book1_1_dt tham tra nha tram bien ap" xfId="581"/>
    <cellStyle name="_KT (2)_2_TG-TH_Book1_Book1_1_KHAO SAT TRA VINH" xfId="582"/>
    <cellStyle name="_KT (2)_2_TG-TH_Book1_Book1_2" xfId="583"/>
    <cellStyle name="_KT (2)_2_TG-TH_Book1_Book1_2.DT_CONG_MY SON DONG_ DC SAU THAM DINH" xfId="584"/>
    <cellStyle name="_KT (2)_2_TG-TH_Book1_Book1_2.DT_CONG_MY SON DONG_ DC SAU THAM DINH_1" xfId="585"/>
    <cellStyle name="_KT (2)_2_TG-TH_Book1_Book1_Book1" xfId="586"/>
    <cellStyle name="_KT (2)_2_TG-TH_Book1_Book1_Book1_cu xeo chac dc theo Nien" xfId="587"/>
    <cellStyle name="_KT (2)_2_TG-TH_Book1_Book1_CDC PHU LAC XA HOA LAC" xfId="588"/>
    <cellStyle name="_KT (2)_2_TG-TH_Book1_Book1_congPhuThoAAAAA" xfId="589"/>
    <cellStyle name="_KT (2)_2_TG-TH_Book1_Book1_cu xeo chac dc theo Nien" xfId="590"/>
    <cellStyle name="_KT (2)_2_TG-TH_Book1_Book1_DT - TAN PHU TAY A " xfId="591"/>
    <cellStyle name="_KT (2)_2_TG-TH_Book1_Book1_DT - TAN PHU TAY A _1" xfId="592"/>
    <cellStyle name="_KT (2)_2_TG-TH_Book1_Book1_dt tham tra nha tram bien ap" xfId="593"/>
    <cellStyle name="_KT (2)_2_TG-TH_Book1_Book1_DU TOAN MAU" xfId="594"/>
    <cellStyle name="_KT (2)_2_TG-TH_Book1_Book1_DU TOAN MAU_1" xfId="595"/>
    <cellStyle name="_KT (2)_2_TG-TH_Book1_Book1_KHAO SAT TRA VINH" xfId="596"/>
    <cellStyle name="_KT (2)_2_TG-TH_Book1_Book1_KHOI LUONG DE CUC BO CAI TAC - THANH DIEN" xfId="597"/>
    <cellStyle name="_KT (2)_2_TG-TH_Book1_Book1_KHOI LUONG DE CUC BO CAI TAC - THANH DIEN_1" xfId="598"/>
    <cellStyle name="_KT (2)_2_TG-TH_Book1_Book1_SO TOAN KHOI LUONG DE DAI DIEN" xfId="599"/>
    <cellStyle name="_KT (2)_2_TG-TH_Book1_Book1_SO TOAN KHOI LUONG DE DAI DIEN_1" xfId="600"/>
    <cellStyle name="_KT (2)_2_TG-TH_Book1_Book1_Thuyet minh cau vuot" xfId="601"/>
    <cellStyle name="_KT (2)_2_TG-TH_Book1_Book2" xfId="602"/>
    <cellStyle name="_KT (2)_2_TG-TH_Book1_Book2_1" xfId="603"/>
    <cellStyle name="_KT (2)_2_TG-TH_Book1_C CHIN TUYEN" xfId="604"/>
    <cellStyle name="_KT (2)_2_TG-TH_Book1_Can Tho DINH MUC lao dong 20-09-2004" xfId="605"/>
    <cellStyle name="_KT (2)_2_TG-TH_Book1_CDC PHU LAC XA HOA LAC" xfId="606"/>
    <cellStyle name="_KT (2)_2_TG-TH_Book1_congPhuThoAAAAA" xfId="607"/>
    <cellStyle name="_KT (2)_2_TG-TH_Book1_Copy of CAU CHIN TUYEN" xfId="608"/>
    <cellStyle name="_KT (2)_2_TG-TH_Book1_CUOC VAN CHUYEN" xfId="609"/>
    <cellStyle name="_KT (2)_2_TG-TH_Book1_Danglam-CVC-02-2-07-Duong-goi5-Bthuy-MT-TN" xfId="610"/>
    <cellStyle name="_KT (2)_2_TG-TH_Book1_DanhMucDonGiaVTTB_Dien_TAM" xfId="611"/>
    <cellStyle name="_KT (2)_2_TG-TH_Book1_DanhMucDonGiaVTTB_Dien_TAM_1" xfId="612"/>
    <cellStyle name="_KT (2)_2_TG-TH_Book1_DT - TAN PHU TAY A " xfId="613"/>
    <cellStyle name="_KT (2)_2_TG-TH_Book1_DT - TAN PHU TAY A _1" xfId="614"/>
    <cellStyle name="_KT (2)_2_TG-TH_Book1_DT CCAU SO 2" xfId="615"/>
    <cellStyle name="_KT (2)_2_TG-TH_Book1_du toan bo sung TK Krong buk" xfId="616"/>
    <cellStyle name="_KT (2)_2_TG-TH_Book1_Du toan Mau" xfId="617"/>
    <cellStyle name="_KT (2)_2_TG-TH_Book1_DU TOAN MAU_1" xfId="618"/>
    <cellStyle name="_KT (2)_2_TG-TH_Book1_du toan Petro" xfId="619"/>
    <cellStyle name="_KT (2)_2_TG-TH_Book1_file TDinh" xfId="620"/>
    <cellStyle name="_KT (2)_2_TG-TH_Book1_GIAO thau  TRUONG MN MUOI TAI" xfId="621"/>
    <cellStyle name="_KT (2)_2_TG-TH_Book1_GIAO thau  TRUONG MN MUOI TAI_1" xfId="622"/>
    <cellStyle name="_KT (2)_2_TG-TH_Book1_GIAVLXD092010_1287366083109" xfId="623"/>
    <cellStyle name="_KT (2)_2_TG-TH_Book1_GT21_ CONG TIEU Þ60" xfId="624"/>
    <cellStyle name="_KT (2)_2_TG-TH_Book1_GuiChudautu-20-02-07-Thamtra-KDC-Mthan-TrNoc" xfId="625"/>
    <cellStyle name="_KT (2)_2_TG-TH_Book1_GVL10" xfId="626"/>
    <cellStyle name="_KT (2)_2_TG-TH_Book1_KENH T11-1 R" xfId="627"/>
    <cellStyle name="_KT (2)_2_TG-TH_Book1_KENH T11-6(MAU_ISO)" xfId="628"/>
    <cellStyle name="_KT (2)_2_TG-TH_Book1_KHAO SAT" xfId="629"/>
    <cellStyle name="_KT (2)_2_TG-TH_Book1_KHAO SAT TRA VINH" xfId="630"/>
    <cellStyle name="_KT (2)_2_TG-TH_Book1_KHOI LUONG DE CUC BO CAI TAC - THANH DIEN" xfId="631"/>
    <cellStyle name="_KT (2)_2_TG-TH_Book1_KHOI LUONG DE CUC BO CAI TAC - THANH DIEN_1" xfId="632"/>
    <cellStyle name="_KT (2)_2_TG-TH_Book1_KS - DE BAO SONG CAI OT" xfId="633"/>
    <cellStyle name="_KT (2)_2_TG-TH_Book1_KS - DE BAO SONG CAI OT_1" xfId="634"/>
    <cellStyle name="_KT (2)_2_TG-TH_Book1_KS - DE BAOCAI TAT - THANH DIEN" xfId="635"/>
    <cellStyle name="_KT (2)_2_TG-TH_Book1_KS - DE BAOCAI TAT - THANH DIEN_1" xfId="636"/>
    <cellStyle name="_KT (2)_2_TG-TH_Book1_KS - DE LAN NAM_CHO LACH" xfId="637"/>
    <cellStyle name="_KT (2)_2_TG-TH_Book1_KS - DE LAN NAM_CHO LACH_1" xfId="638"/>
    <cellStyle name="_KT (2)_2_TG-TH_Book1_KS - DE LAN NAM_CHO LACH_AD" xfId="639"/>
    <cellStyle name="_KT (2)_2_TG-TH_Book1_KS - DE LAN NAM_CHO LACH_AD_1" xfId="640"/>
    <cellStyle name="_KT (2)_2_TG-TH_Book1_KS - DE VEN SONG HAM LUONG_DAI DIEN " xfId="641"/>
    <cellStyle name="_KT (2)_2_TG-TH_Book1_KS - DE VEN SONG HAM LUONG_DAI DIEN _1" xfId="642"/>
    <cellStyle name="_KT (2)_2_TG-TH_Book1_mauBCC" xfId="643"/>
    <cellStyle name="_KT (2)_2_TG-TH_Book1_QD so 957" xfId="644"/>
    <cellStyle name="_KT (2)_2_TG-TH_Book1_SO TOAN KHOI LUONG DE DAI DIEN" xfId="645"/>
    <cellStyle name="_KT (2)_2_TG-TH_Book1_SO TOAN KHOI LUONG DE DAI DIEN_1" xfId="646"/>
    <cellStyle name="_KT (2)_2_TG-TH_Book1_th" xfId="647"/>
    <cellStyle name="_KT (2)_2_TG-TH_Book1_THDT" xfId="648"/>
    <cellStyle name="_KT (2)_2_TG-TH_Book1_THDTGOI 21" xfId="649"/>
    <cellStyle name="_KT (2)_2_TG-TH_Book1_THONG KE THEP" xfId="650"/>
    <cellStyle name="_KT (2)_2_TG-TH_Book1_TIEU HOC A MY LUONG KHOI 2" xfId="651"/>
    <cellStyle name="_KT (2)_2_TG-TH_Book1_TKHC-THOIQUAN-05-04-2004" xfId="652"/>
    <cellStyle name="_KT (2)_2_TG-TH_Book1_TKHC-THOIQUAN-05-04-2004_1" xfId="653"/>
    <cellStyle name="_KT (2)_2_TG-TH_Book1_TONG DU TOAN VINH LONG-PA1" xfId="654"/>
    <cellStyle name="_KT (2)_2_TG-TH_Book1_TTXLNT-TTKYT-TONG THE" xfId="655"/>
    <cellStyle name="_KT (2)_2_TG-TH_Book1_XL4Poppy" xfId="656"/>
    <cellStyle name="_KT (2)_2_TG-TH_Book1_XL4Poppy_1" xfId="657"/>
    <cellStyle name="_KT (2)_2_TG-TH_Book1_XL4Test5" xfId="658"/>
    <cellStyle name="_KT (2)_2_TG-TH_Book1_XL4Test5_1" xfId="659"/>
    <cellStyle name="_KT (2)_2_TG-TH_Book2" xfId="660"/>
    <cellStyle name="_KT (2)_2_TG-TH_Book2_1" xfId="661"/>
    <cellStyle name="_KT (2)_2_TG-TH_C CHIN TUYEN" xfId="662"/>
    <cellStyle name="_KT (2)_2_TG-TH_Can Tho DINH MUC lao dong 20-09-2004" xfId="663"/>
    <cellStyle name="_KT (2)_2_TG-TH_CDC PHU LAC XA HOA LAC" xfId="664"/>
    <cellStyle name="_KT (2)_2_TG-TH_CONG 1.5.xls" xfId="665"/>
    <cellStyle name="_KT (2)_2_TG-TH_Cong K2+190" xfId="666"/>
    <cellStyle name="_KT (2)_2_TG-TH_Cong K2+190 ( cuoi )" xfId="667"/>
    <cellStyle name="_KT (2)_2_TG-TH_CONG KENH 12" xfId="668"/>
    <cellStyle name="_KT (2)_2_TG-TH_Copy of CAU CHIN TUYEN" xfId="669"/>
    <cellStyle name="_KT (2)_2_TG-TH_Danglam-CVC-02-2-07-Duong-goi5-Bthuy-MT-TN" xfId="670"/>
    <cellStyle name="_KT (2)_2_TG-TH_Dcdtoan-bcnckt " xfId="671"/>
    <cellStyle name="_KT (2)_2_TG-TH_Dcdtoan-bcnckt _1" xfId="672"/>
    <cellStyle name="_KT (2)_2_TG-TH_Dcdtoan-bcnckt _XL4Poppy" xfId="673"/>
    <cellStyle name="_KT (2)_2_TG-TH_Dcdtoan-bcnckt _XL4Poppy_1" xfId="674"/>
    <cellStyle name="_KT (2)_2_TG-TH_Dcdtoan-bcnckt _XL4Test5" xfId="675"/>
    <cellStyle name="_KT (2)_2_TG-TH_Dcdtoan-bcnckt _XL4Test5_1" xfId="676"/>
    <cellStyle name="_KT (2)_2_TG-TH_Dongia2-2003" xfId="677"/>
    <cellStyle name="_KT (2)_2_TG-TH_Dongia2-2003_1" xfId="678"/>
    <cellStyle name="_KT (2)_2_TG-TH_DT - TAN PHU TAY A " xfId="679"/>
    <cellStyle name="_KT (2)_2_TG-TH_DT - TAN PHU TAY A _1" xfId="680"/>
    <cellStyle name="_KT (2)_2_TG-TH_DT CCAU SO 2" xfId="681"/>
    <cellStyle name="_KT (2)_2_TG-TH_DT Cong 2PHI 100 BONAM KENH XA NU" xfId="682"/>
    <cellStyle name="_KT (2)_2_TG-TH_DT CONG BA CHUA (-1.5)" xfId="683"/>
    <cellStyle name="_KT (2)_2_TG-TH_dt tham tra nha tram bien ap" xfId="684"/>
    <cellStyle name="_KT (2)_2_TG-TH_DTCDT MR.2N110.HOCMON.TDTOAN.CCUNG" xfId="685"/>
    <cellStyle name="_KT (2)_2_TG-TH_DTCDT MR.2N110.HOCMON.TDTOAN.CCUNG_1" xfId="686"/>
    <cellStyle name="_KT (2)_2_TG-TH_DTCDT MR.2N110.HOCMON.TDTOAN.CCUNG_ks-diachaât caàu" xfId="687"/>
    <cellStyle name="_KT (2)_2_TG-TH_DTCDT MR.2N110.HOCMON.TDTOAN.CCUNG_ks-diachaât caàu_1" xfId="688"/>
    <cellStyle name="_KT (2)_2_TG-TH_Du phong Cong Tha La" xfId="689"/>
    <cellStyle name="_KT (2)_2_TG-TH_Du toan Mau" xfId="690"/>
    <cellStyle name="_KT (2)_2_TG-TH_DU TOAN MAU_1" xfId="691"/>
    <cellStyle name="_KT (2)_2_TG-TH_du toan Petro" xfId="692"/>
    <cellStyle name="_KT (2)_2_TG-TH_file TDinh" xfId="693"/>
    <cellStyle name="_KT (2)_2_TG-TH_Giai Doan 3 Hong Ngu" xfId="694"/>
    <cellStyle name="_KT (2)_2_TG-TH_Giai Doan 3 Hong Ngu_1" xfId="695"/>
    <cellStyle name="_KT (2)_2_TG-TH_GIAVLXD092010_1287366083109" xfId="696"/>
    <cellStyle name="_KT (2)_2_TG-TH_GT21_ CONG TIEU Þ60" xfId="697"/>
    <cellStyle name="_KT (2)_2_TG-TH_GuiChudautu-20-02-07-Thamtra-KDC-Mthan-TrNoc" xfId="698"/>
    <cellStyle name="_KT (2)_2_TG-TH_GVL4" xfId="699"/>
    <cellStyle name="_KT (2)_2_TG-TH_GVL4_1" xfId="700"/>
    <cellStyle name="_KT (2)_2_TG-TH_GVLmoi" xfId="701"/>
    <cellStyle name="_KT (2)_2_TG-TH_k2+700" xfId="702"/>
    <cellStyle name="_KT (2)_2_TG-TH_KE LUONG THUC" xfId="703"/>
    <cellStyle name="_KT (2)_2_TG-TH_KE LUONG THUC111" xfId="704"/>
    <cellStyle name="_KT (2)_2_TG-TH_Ke met wa" xfId="705"/>
    <cellStyle name="_KT (2)_2_TG-TH_KE THA LA" xfId="706"/>
    <cellStyle name="_KT (2)_2_TG-TH_KHAO SAT" xfId="707"/>
    <cellStyle name="_KT (2)_2_TG-TH_khao sat Du an" xfId="708"/>
    <cellStyle name="_KT (2)_2_TG-TH_KHAO SAT TRA VINH" xfId="709"/>
    <cellStyle name="_KT (2)_2_TG-TH_KHIN PHI KENH T6" xfId="710"/>
    <cellStyle name="_KT (2)_2_TG-TH_KHOI LUONG DE CUC BO CAI TAC - THANH DIEN" xfId="711"/>
    <cellStyle name="_KT (2)_2_TG-TH_KHOI LUONG DE CUC BO CAI TAC - THANH DIEN_1" xfId="712"/>
    <cellStyle name="_KT (2)_2_TG-TH_KLKS TK-8 cong kenh hau" xfId="713"/>
    <cellStyle name="_KT (2)_2_TG-TH_KS - DE BAO SONG CAI OT" xfId="714"/>
    <cellStyle name="_KT (2)_2_TG-TH_KS - DE BAO SONG CAI OT_1" xfId="715"/>
    <cellStyle name="_KT (2)_2_TG-TH_KS - DE BAOCAI TAT - THANH DIEN" xfId="716"/>
    <cellStyle name="_KT (2)_2_TG-TH_KS - DE BAOCAI TAT - THANH DIEN_1" xfId="717"/>
    <cellStyle name="_KT (2)_2_TG-TH_KS - DE LAN NAM_CHO LACH" xfId="718"/>
    <cellStyle name="_KT (2)_2_TG-TH_KS - DE LAN NAM_CHO LACH_1" xfId="719"/>
    <cellStyle name="_KT (2)_2_TG-TH_KS - DE LAN NAM_CHO LACH_AD" xfId="720"/>
    <cellStyle name="_KT (2)_2_TG-TH_KS - DE LAN NAM_CHO LACH_AD_1" xfId="721"/>
    <cellStyle name="_KT (2)_2_TG-TH_KS - DE VEN SONG HAM LUONG_DAI DIEN " xfId="722"/>
    <cellStyle name="_KT (2)_2_TG-TH_KS - DE VEN SONG HAM LUONG_DAI DIEN _1" xfId="723"/>
    <cellStyle name="_KT (2)_2_TG-TH_Lora-tungchau" xfId="724"/>
    <cellStyle name="_KT (2)_2_TG-TH_Lora-tungchau_1" xfId="725"/>
    <cellStyle name="_KT (2)_2_TG-TH_Lora-tungchau_ks-diachaât caàu" xfId="726"/>
    <cellStyle name="_KT (2)_2_TG-TH_Lora-tungchau_ks-diachaât caàu_1" xfId="727"/>
    <cellStyle name="_KT (2)_2_TG-TH_mauBCC" xfId="728"/>
    <cellStyle name="_KT (2)_2_TG-TH_moi" xfId="729"/>
    <cellStyle name="_KT (2)_2_TG-TH_moi_1" xfId="730"/>
    <cellStyle name="_KT (2)_2_TG-TH_moi_XL4Poppy" xfId="731"/>
    <cellStyle name="_KT (2)_2_TG-TH_moi_XL4Poppy_1" xfId="732"/>
    <cellStyle name="_KT (2)_2_TG-TH_moi_XL4Test5" xfId="733"/>
    <cellStyle name="_KT (2)_2_TG-TH_moi_XL4Test5_1" xfId="734"/>
    <cellStyle name="_KT (2)_2_TG-TH_PGIA-phieu tham tra Kho bac" xfId="735"/>
    <cellStyle name="_KT (2)_2_TG-TH_PGIA-phieu tham tra Kho bac_1" xfId="736"/>
    <cellStyle name="_KT (2)_2_TG-TH_PT02-02" xfId="737"/>
    <cellStyle name="_KT (2)_2_TG-TH_PT02-02_1" xfId="738"/>
    <cellStyle name="_KT (2)_2_TG-TH_PT02-02_Book1" xfId="739"/>
    <cellStyle name="_KT (2)_2_TG-TH_PT02-02_Book1_1" xfId="740"/>
    <cellStyle name="_KT (2)_2_TG-TH_PT02-02_Book1_ks-diachaât caàu" xfId="741"/>
    <cellStyle name="_KT (2)_2_TG-TH_PT02-02_Book1_ks-diachaât caàu_1" xfId="742"/>
    <cellStyle name="_KT (2)_2_TG-TH_PT02-03" xfId="743"/>
    <cellStyle name="_KT (2)_2_TG-TH_PT02-03_1" xfId="744"/>
    <cellStyle name="_KT (2)_2_TG-TH_PT02-03_Book1" xfId="745"/>
    <cellStyle name="_KT (2)_2_TG-TH_PT02-03_Book1_1" xfId="746"/>
    <cellStyle name="_KT (2)_2_TG-TH_PT02-03_Book1_ks-diachaât caàu" xfId="747"/>
    <cellStyle name="_KT (2)_2_TG-TH_PT02-03_Book1_ks-diachaât caàu_1" xfId="748"/>
    <cellStyle name="_KT (2)_2_TG-TH_QD so 957" xfId="749"/>
    <cellStyle name="_KT (2)_2_TG-TH_QT TINH UNG 2002" xfId="750"/>
    <cellStyle name="_KT (2)_2_TG-TH_Qt-HT3PQ1(CauKho)" xfId="751"/>
    <cellStyle name="_KT (2)_2_TG-TH_Qt-HT3PQ1(CauKho)_1" xfId="752"/>
    <cellStyle name="_KT (2)_2_TG-TH_Qt-HT3PQ1(CauKho)_Don gia quy 3 nam 2003 - Ban Dien Luc" xfId="753"/>
    <cellStyle name="_KT (2)_2_TG-TH_Qt-HT3PQ1(CauKho)_Don gia quy 3 nam 2003 - Ban Dien Luc_1" xfId="754"/>
    <cellStyle name="_KT (2)_2_TG-TH_Qt-HT3PQ1(CauKho)_Don gia quy 3 nam 2003 - Ban Dien Luc_ks-diachaât caàu" xfId="755"/>
    <cellStyle name="_KT (2)_2_TG-TH_Qt-HT3PQ1(CauKho)_Don gia quy 3 nam 2003 - Ban Dien Luc_ks-diachaât caàu_1" xfId="756"/>
    <cellStyle name="_KT (2)_2_TG-TH_Qt-HT3PQ1(CauKho)_ks-diachaât caàu" xfId="757"/>
    <cellStyle name="_KT (2)_2_TG-TH_Qt-HT3PQ1(CauKho)_ks-diachaât caàu_1" xfId="758"/>
    <cellStyle name="_KT (2)_2_TG-TH_Qt-HT3PQ1(CauKho)_NC-VL2-2003" xfId="759"/>
    <cellStyle name="_KT (2)_2_TG-TH_Qt-HT3PQ1(CauKho)_NC-VL2-2003_1" xfId="760"/>
    <cellStyle name="_KT (2)_2_TG-TH_Qt-HT3PQ1(CauKho)_NC-VL2-2003_1_1" xfId="761"/>
    <cellStyle name="_KT (2)_2_TG-TH_Qt-HT3PQ1(CauKho)_NC-VL2-2003_1_1_1" xfId="762"/>
    <cellStyle name="_KT (2)_2_TG-TH_Qt-HT3PQ1(CauKho)_NC-VL2-2003_1_ks-diachaât caàu" xfId="763"/>
    <cellStyle name="_KT (2)_2_TG-TH_Qt-HT3PQ1(CauKho)_NC-VL2-2003_1_ks-diachaât caàu_1" xfId="764"/>
    <cellStyle name="_KT (2)_2_TG-TH_Qt-HT3PQ1(CauKho)_XL4Test5" xfId="765"/>
    <cellStyle name="_KT (2)_2_TG-TH_Qt-HT3PQ1(CauKho)_XL4Test5_1" xfId="766"/>
    <cellStyle name="_KT (2)_2_TG-TH_Qt-HT3PQ1(CauKho)_XL4Test5_1_1" xfId="767"/>
    <cellStyle name="_KT (2)_2_TG-TH_Qt-HT3PQ1(CauKho)_XL4Test5_1_1_1" xfId="768"/>
    <cellStyle name="_KT (2)_2_TG-TH_Qt-HT3PQ1(CauKho)_XL4Test5_ks-diachaât caàu" xfId="769"/>
    <cellStyle name="_KT (2)_2_TG-TH_Qt-HT3PQ1(CauKho)_XL4Test5_ks-diachaât caàu_1" xfId="770"/>
    <cellStyle name="_KT (2)_2_TG-TH_Sheet2" xfId="771"/>
    <cellStyle name="_KT (2)_2_TG-TH_Sheet2_1" xfId="772"/>
    <cellStyle name="_KT (2)_2_TG-TH_SO TOAN KHOI LUONG DE DAI DIEN" xfId="773"/>
    <cellStyle name="_KT (2)_2_TG-TH_SO TOAN KHOI LUONG DE DAI DIEN_1" xfId="774"/>
    <cellStyle name="_KT (2)_2_TG-TH_STKL KE BAC LIEU" xfId="775"/>
    <cellStyle name="_KT (2)_2_TG-TH_STKL NGACAITRONG" xfId="776"/>
    <cellStyle name="_KT (2)_2_TG-TH_th" xfId="777"/>
    <cellStyle name="_KT (2)_2_TG-TH_THDT" xfId="778"/>
    <cellStyle name="_KT (2)_2_TG-TH_THDT PHUOC LONG PA1(T6)" xfId="779"/>
    <cellStyle name="_KT (2)_2_TG-TH_THDT_1" xfId="780"/>
    <cellStyle name="_KT (2)_2_TG-TH_THONG KE THEP" xfId="781"/>
    <cellStyle name="_KT (2)_2_TG-TH_TKHC-THOIQUAN-05-04-2004" xfId="782"/>
    <cellStyle name="_KT (2)_2_TG-TH_TKHC-THOIQUAN-05-04-2004_1" xfId="783"/>
    <cellStyle name="_KT (2)_2_TG-TH_TMDT 4 GOI" xfId="784"/>
    <cellStyle name="_KT (2)_2_TG-TH_TMDT GOI 2 BO BAC (tinh cp lai du phong)" xfId="785"/>
    <cellStyle name="_KT (2)_2_TG-TH_TMDT22" xfId="786"/>
    <cellStyle name="_KT (2)_2_TG-TH_TMDTPA1" xfId="787"/>
    <cellStyle name="_KT (2)_2_TG-TH_TONG DU TOAN" xfId="788"/>
    <cellStyle name="_KT (2)_2_TG-TH_TONG MUC DAU TU DC" xfId="789"/>
    <cellStyle name="_KT (2)_2_TG-TH_XL4Poppy" xfId="790"/>
    <cellStyle name="_KT (2)_2_TG-TH_XL4Poppy_1" xfId="791"/>
    <cellStyle name="_KT (2)_2_TG-TH_XL4Poppy_XL4Test5" xfId="792"/>
    <cellStyle name="_KT (2)_2_TG-TH_XL4Poppy_XL4Test5_1" xfId="793"/>
    <cellStyle name="_KT (2)_2_TG-TH_XL4Test5" xfId="794"/>
    <cellStyle name="_KT (2)_2_TG-TH_XL4Test5_1" xfId="795"/>
    <cellStyle name="_KT (2)_2_th" xfId="796"/>
    <cellStyle name="_KT (2)_2_THDT" xfId="797"/>
    <cellStyle name="_KT (2)_2_THDT PHUOC LONG PA1(T6)" xfId="798"/>
    <cellStyle name="_KT (2)_2_THDT_1" xfId="799"/>
    <cellStyle name="_KT (2)_2_THONG KE THEP" xfId="800"/>
    <cellStyle name="_KT (2)_2_TMDT 4 GOI" xfId="801"/>
    <cellStyle name="_KT (2)_2_TMDT GOI 2 BO BAC (tinh cp lai du phong)" xfId="802"/>
    <cellStyle name="_KT (2)_2_TMDT22" xfId="803"/>
    <cellStyle name="_KT (2)_2_TMDTPA1" xfId="804"/>
    <cellStyle name="_KT (2)_2_TONG DU TOAN" xfId="805"/>
    <cellStyle name="_KT (2)_2_TONG MUC DAU TU DC" xfId="806"/>
    <cellStyle name="_KT (2)_3" xfId="807"/>
    <cellStyle name="_KT (2)_3_1" xfId="808"/>
    <cellStyle name="_KT (2)_3_TG-TH" xfId="809"/>
    <cellStyle name="_KT (2)_3_TG-TH_1" xfId="810"/>
    <cellStyle name="_KT (2)_3_TG-TH_2.DT_CONG_MY SON DONG_ DC SAU THAM DINH" xfId="811"/>
    <cellStyle name="_KT (2)_3_TG-TH_2.DT_CONG_MY SON DONG_ DC SAU THAM DINH_1" xfId="812"/>
    <cellStyle name="_KT (2)_3_TG-TH_BO KE THI TRAN TAN CHAU-GD2" xfId="813"/>
    <cellStyle name="_KT (2)_3_TG-TH_Book1" xfId="814"/>
    <cellStyle name="_KT (2)_3_TG-TH_Book1_1" xfId="815"/>
    <cellStyle name="_KT (2)_3_TG-TH_Book1_1_1" xfId="816"/>
    <cellStyle name="_KT (2)_3_TG-TH_Book1_1_1_1" xfId="817"/>
    <cellStyle name="_KT (2)_3_TG-TH_Book1_1_Book1" xfId="818"/>
    <cellStyle name="_KT (2)_3_TG-TH_Book1_1_Book1_1" xfId="819"/>
    <cellStyle name="_KT (2)_3_TG-TH_Book1_1_Book1_KHAO SAT TRA VINH" xfId="820"/>
    <cellStyle name="_KT (2)_3_TG-TH_Book1_1_Can Tho DINH MUC lao dong 20-09-2004" xfId="821"/>
    <cellStyle name="_KT (2)_3_TG-TH_Book1_1_GIAVLXD092010_1287366083109" xfId="822"/>
    <cellStyle name="_KT (2)_3_TG-TH_Book1_1_QD so 957" xfId="823"/>
    <cellStyle name="_KT (2)_3_TG-TH_Book1_2" xfId="824"/>
    <cellStyle name="_KT (2)_3_TG-TH_Book1_2.DT_CONG_MY SON DONG_ DC SAU THAM DINH" xfId="825"/>
    <cellStyle name="_KT (2)_3_TG-TH_Book1_2.DT_CONG_MY SON DONG_ DC SAU THAM DINH_1" xfId="826"/>
    <cellStyle name="_KT (2)_3_TG-TH_Book1_2_1" xfId="827"/>
    <cellStyle name="_KT (2)_3_TG-TH_Book1_2_KHAO SAT TRA VINH" xfId="828"/>
    <cellStyle name="_KT (2)_3_TG-TH_Book1_3" xfId="829"/>
    <cellStyle name="_KT (2)_3_TG-TH_Book1_3_KHAO SAT TRA VINH" xfId="830"/>
    <cellStyle name="_KT (2)_3_TG-TH_Book1_4" xfId="831"/>
    <cellStyle name="_KT (2)_3_TG-TH_Book1_BC-QT-WB-dthao" xfId="832"/>
    <cellStyle name="_KT (2)_3_TG-TH_Book1_BC-QT-WB-dthao_1" xfId="833"/>
    <cellStyle name="_KT (2)_3_TG-TH_Book1_BC-QT-WB-dthao_ks-diachaât caàu" xfId="834"/>
    <cellStyle name="_KT (2)_3_TG-TH_Book1_BC-QT-WB-dthao_ks-diachaât caàu_1" xfId="835"/>
    <cellStyle name="_KT (2)_3_TG-TH_Book1_BO KE THI TRAN TAN CHAU-GD2" xfId="836"/>
    <cellStyle name="_KT (2)_3_TG-TH_Book1_Book1" xfId="837"/>
    <cellStyle name="_KT (2)_3_TG-TH_Book1_Book1_1" xfId="838"/>
    <cellStyle name="_KT (2)_3_TG-TH_Book1_Book1_1_1" xfId="839"/>
    <cellStyle name="_KT (2)_3_TG-TH_Book1_Book1_1_1_1" xfId="840"/>
    <cellStyle name="_KT (2)_3_TG-TH_Book1_Book1_1_KHAO SAT TRA VINH" xfId="841"/>
    <cellStyle name="_KT (2)_3_TG-TH_Book1_Book1_2.DT_CONG_MY SON DONG_ DC SAU THAM DINH" xfId="842"/>
    <cellStyle name="_KT (2)_3_TG-TH_Book1_Book1_2.DT_CONG_MY SON DONG_ DC SAU THAM DINH_1" xfId="843"/>
    <cellStyle name="_KT (2)_3_TG-TH_Book1_Book1_Book1" xfId="844"/>
    <cellStyle name="_KT (2)_3_TG-TH_Book1_Book1_DT - TAN PHU TAY A " xfId="845"/>
    <cellStyle name="_KT (2)_3_TG-TH_Book1_Book1_DT - TAN PHU TAY A _1" xfId="846"/>
    <cellStyle name="_KT (2)_3_TG-TH_Book1_Book1_dt tham tra nha tram bien ap" xfId="847"/>
    <cellStyle name="_KT (2)_3_TG-TH_Book1_Book1_DU TOAN MAU" xfId="848"/>
    <cellStyle name="_KT (2)_3_TG-TH_Book1_Book1_DU TOAN MAU_1" xfId="849"/>
    <cellStyle name="_KT (2)_3_TG-TH_Book1_Book1_KHAO SAT TRA VINH" xfId="850"/>
    <cellStyle name="_KT (2)_3_TG-TH_Book1_Book1_KHOI LUONG DE CUC BO CAI TAC - THANH DIEN" xfId="851"/>
    <cellStyle name="_KT (2)_3_TG-TH_Book1_Book1_KHOI LUONG DE CUC BO CAI TAC - THANH DIEN_1" xfId="852"/>
    <cellStyle name="_KT (2)_3_TG-TH_Book1_Book1_SO TOAN KHOI LUONG DE DAI DIEN" xfId="853"/>
    <cellStyle name="_KT (2)_3_TG-TH_Book1_Book1_SO TOAN KHOI LUONG DE DAI DIEN_1" xfId="854"/>
    <cellStyle name="_KT (2)_3_TG-TH_Book1_Can Tho DINH MUC lao dong 20-09-2004" xfId="855"/>
    <cellStyle name="_KT (2)_3_TG-TH_Book1_CAP NUOC XUAN TO-TINH BIEN" xfId="856"/>
    <cellStyle name="_KT (2)_3_TG-TH_Book1_CHO SON HIEP-AN BINH" xfId="857"/>
    <cellStyle name="_KT (2)_3_TG-TH_Book1_Danglam-CVC-02-2-07-Duong-goi5-Bthuy-MT-TN" xfId="858"/>
    <cellStyle name="_KT (2)_3_TG-TH_Book1_DT - TAN PHU TAY A " xfId="859"/>
    <cellStyle name="_KT (2)_3_TG-TH_Book1_DT - TAN PHU TAY A _1" xfId="860"/>
    <cellStyle name="_KT (2)_3_TG-TH_Book1_DU TOAN MAU" xfId="861"/>
    <cellStyle name="_KT (2)_3_TG-TH_Book1_DU TOAN MAU_1" xfId="862"/>
    <cellStyle name="_KT (2)_3_TG-TH_Book1_du toan Petro" xfId="863"/>
    <cellStyle name="_KT (2)_3_TG-TH_Book1_DUONG TIEP NOI TDC KENH CHA VA - KENH QUYT" xfId="864"/>
    <cellStyle name="_KT (2)_3_TG-TH_Book1_DUONG TIEP NOI TDC KENH CHA VA - KENH QUYT-LAN 2" xfId="865"/>
    <cellStyle name="_KT (2)_3_TG-TH_Book1_file TDinh" xfId="866"/>
    <cellStyle name="_KT (2)_3_TG-TH_Book1_GIA CUA" xfId="867"/>
    <cellStyle name="_KT (2)_3_TG-TH_Book1_GIAO thau  TRUONG MN MUOI TAI" xfId="868"/>
    <cellStyle name="_KT (2)_3_TG-TH_Book1_GIAO thau  TRUONG MN MUOI TAI_1" xfId="869"/>
    <cellStyle name="_KT (2)_3_TG-TH_Book1_GIAO THONG" xfId="870"/>
    <cellStyle name="_KT (2)_3_TG-TH_Book1_GIAVLXD092010_1287366083109" xfId="871"/>
    <cellStyle name="_KT (2)_3_TG-TH_Book1_GT-KCN" xfId="872"/>
    <cellStyle name="_KT (2)_3_TG-TH_Book1_GuiChudautu-20-02-07-Thamtra-KDC-Mthan-TrNoc" xfId="873"/>
    <cellStyle name="_KT (2)_3_TG-TH_Book1_HA TANG KY THUAT" xfId="874"/>
    <cellStyle name="_KT (2)_3_TG-TH_Book1_HTCN-XA HOA BINH-CHO MOI" xfId="875"/>
    <cellStyle name="_KT (2)_3_TG-TH_Book1_HTGT" xfId="876"/>
    <cellStyle name="_KT (2)_3_TG-TH_Book1_HTGT-CDC BAC SON" xfId="877"/>
    <cellStyle name="_KT (2)_3_TG-TH_Book1_HTGT-TDC KENH CA MAU AP KIEN THANH 2" xfId="878"/>
    <cellStyle name="_KT (2)_3_TG-TH_Book1_HTGT-TDC NUI NOI MO RONG" xfId="879"/>
    <cellStyle name="_KT (2)_3_TG-TH_Book1_HTTN" xfId="880"/>
    <cellStyle name="_KT (2)_3_TG-TH_Book1_HTTN_1" xfId="881"/>
    <cellStyle name="_KT (2)_3_TG-TH_Book1_HTTN-LAN 2" xfId="882"/>
    <cellStyle name="_KT (2)_3_TG-TH_Book1_HTTN-TDC NUI NOI MO RONG" xfId="883"/>
    <cellStyle name="_KT (2)_3_TG-TH_Book1_KE BAO VE BO SONG HAU KHU VUC TRU SO TINH UY" xfId="884"/>
    <cellStyle name="_KT (2)_3_TG-TH_Book1_KHAO SAT" xfId="885"/>
    <cellStyle name="_KT (2)_3_TG-TH_Book1_KHO LUU TRU" xfId="886"/>
    <cellStyle name="_KT (2)_3_TG-TH_Book1_KHOI HANH-NHA NGHI TINH UY" xfId="887"/>
    <cellStyle name="_KT (2)_3_TG-TH_Book1_KHOI LUONG DE CUC BO CAI TAC - THANH DIEN" xfId="888"/>
    <cellStyle name="_KT (2)_3_TG-TH_Book1_KHOI LUONG DE CUC BO CAI TAC - THANH DIEN_1" xfId="889"/>
    <cellStyle name="_KT (2)_3_TG-TH_Book1_KHOI NHA CHINH" xfId="890"/>
    <cellStyle name="_KT (2)_3_TG-TH_Book1_KHOI THUC HANH" xfId="891"/>
    <cellStyle name="_KT (2)_3_TG-TH_Book1_KHOI XAY MOI" xfId="892"/>
    <cellStyle name="_KT (2)_3_TG-TH_Book1_lan 3" xfId="893"/>
    <cellStyle name="_KT (2)_3_TG-TH_Book1_Mau" xfId="894"/>
    <cellStyle name="_KT (2)_3_TG-TH_Book1_mauBCC" xfId="895"/>
    <cellStyle name="_KT (2)_3_TG-TH_Book1_MR TT GIOI THIEU VIEC LAM" xfId="896"/>
    <cellStyle name="_KT (2)_3_TG-TH_Book1_NCS-TIEU HOC A TAN CHAU" xfId="897"/>
    <cellStyle name="_KT (2)_3_TG-TH_Book1_NGHIA TRANG LS DOC BA DAC" xfId="898"/>
    <cellStyle name="_KT (2)_3_TG-TH_Book1_NHA HANG KS THANG LOI" xfId="899"/>
    <cellStyle name="_KT (2)_3_TG-TH_Book1_NHA LAM VIEC CHI NHANH DANG KIEM CHAU DOC" xfId="900"/>
    <cellStyle name="_KT (2)_3_TG-TH_Book1_Nha long cho bach hoa" xfId="901"/>
    <cellStyle name="_KT (2)_3_TG-TH_Book1_NHA VE SINH" xfId="902"/>
    <cellStyle name="_KT (2)_3_TG-TH_Book1_NLC-KHU DAN CU AP MY TAN" xfId="903"/>
    <cellStyle name="_KT (2)_3_TG-TH_Book1_PHUONG AN 1-TINH VET BUN" xfId="904"/>
    <cellStyle name="_KT (2)_3_TG-TH_Book1_QD so 957" xfId="905"/>
    <cellStyle name="_KT (2)_3_TG-TH_Book1_SO TOAN KHOI LUONG DE DAI DIEN" xfId="906"/>
    <cellStyle name="_KT (2)_3_TG-TH_Book1_SO TOAN KHOI LUONG DE DAI DIEN_1" xfId="907"/>
    <cellStyle name="_KT (2)_3_TG-TH_Book1_TDC CON TIEN" xfId="908"/>
    <cellStyle name="_KT (2)_3_TG-TH_Book1_thoat nuoc" xfId="909"/>
    <cellStyle name="_KT (2)_3_TG-TH_Book1_THOAT NUOC_1" xfId="910"/>
    <cellStyle name="_KT (2)_3_TG-TH_Book1_TIEU HOC A PHU HUU-BO SUNG" xfId="911"/>
    <cellStyle name="_KT (2)_3_TG-TH_Book1_TKHC-THOIQUAN-05-04-2004" xfId="912"/>
    <cellStyle name="_KT (2)_3_TG-TH_Book1_TKHC-THOIQUAN-05-04-2004_1" xfId="913"/>
    <cellStyle name="_KT (2)_3_TG-TH_Book1_TRAM Y TE PHUONG CHAU PHU A" xfId="914"/>
    <cellStyle name="_KT (2)_3_TG-TH_Book1_TRU SO HUYEN UY PHU TAN" xfId="915"/>
    <cellStyle name="_KT (2)_3_TG-TH_Book1_TRUNG TAM Y TE THOAI SON" xfId="916"/>
    <cellStyle name="_KT (2)_3_TG-TH_Book1_TRUONG MAU GIAO XA AN BINH" xfId="917"/>
    <cellStyle name="_KT (2)_3_TG-TH_Book1_TRUONG MAU GIAO XA VINH CHAU" xfId="918"/>
    <cellStyle name="_KT (2)_3_TG-TH_Book1_TRUONG THPT NGUYEN KHUYEN" xfId="919"/>
    <cellStyle name="_KT (2)_3_TG-TH_Book1_TRUONG THPT NGUYEN KHUYEN-LAN 2" xfId="920"/>
    <cellStyle name="_KT (2)_3_TG-TH_Book1_TRUONG THPT VINH BINH" xfId="921"/>
    <cellStyle name="_KT (2)_3_TG-TH_Book1_TTXLNT-TTKYT-TONG THE-LAN 3" xfId="922"/>
    <cellStyle name="_KT (2)_3_TG-TH_Book1_WC-BAC VAM NAO" xfId="923"/>
    <cellStyle name="_KT (2)_3_TG-TH_Book1_XA GO" xfId="924"/>
    <cellStyle name="_KT (2)_3_TG-TH_Book2" xfId="925"/>
    <cellStyle name="_KT (2)_3_TG-TH_Book2_1" xfId="926"/>
    <cellStyle name="_KT (2)_3_TG-TH_C CHIN TUYEN" xfId="927"/>
    <cellStyle name="_KT (2)_3_TG-TH_Can Tho DINH MUC lao dong 20-09-2004" xfId="928"/>
    <cellStyle name="_KT (2)_3_TG-TH_CAP NUOC XUAN TO-TINH BIEN" xfId="929"/>
    <cellStyle name="_KT (2)_3_TG-TH_CHO SON HIEP-AN BINH" xfId="930"/>
    <cellStyle name="_KT (2)_3_TG-TH_CONG 1.5.xls" xfId="931"/>
    <cellStyle name="_KT (2)_3_TG-TH_Cong K2+190" xfId="932"/>
    <cellStyle name="_KT (2)_3_TG-TH_Cong K2+190 ( cuoi )" xfId="933"/>
    <cellStyle name="_KT (2)_3_TG-TH_CONG KENH 12" xfId="934"/>
    <cellStyle name="_KT (2)_3_TG-TH_Copy of CAU CHIN TUYEN" xfId="935"/>
    <cellStyle name="_KT (2)_3_TG-TH_DT - TAN PHU TAY A " xfId="936"/>
    <cellStyle name="_KT (2)_3_TG-TH_DT - TAN PHU TAY A _1" xfId="937"/>
    <cellStyle name="_KT (2)_3_TG-TH_DT CCAU SO 2" xfId="938"/>
    <cellStyle name="_KT (2)_3_TG-TH_DT Cong 2PHI 100 BONAM KENH XA NU" xfId="939"/>
    <cellStyle name="_KT (2)_3_TG-TH_DT CONG BA CHUA (-1.5)" xfId="940"/>
    <cellStyle name="_KT (2)_3_TG-TH_dt tham tra nha tram bien ap" xfId="941"/>
    <cellStyle name="_KT (2)_3_TG-TH_Du phong Cong Tha La" xfId="942"/>
    <cellStyle name="_KT (2)_3_TG-TH_Du toan Mau" xfId="943"/>
    <cellStyle name="_KT (2)_3_TG-TH_DU TOAN MAU_1" xfId="944"/>
    <cellStyle name="_KT (2)_3_TG-TH_DUONG TIEP NOI TDC KENH CHA VA - KENH QUYT" xfId="945"/>
    <cellStyle name="_KT (2)_3_TG-TH_DUONG TIEP NOI TDC KENH CHA VA - KENH QUYT-LAN 2" xfId="946"/>
    <cellStyle name="_KT (2)_3_TG-TH_GIA CUA" xfId="947"/>
    <cellStyle name="_KT (2)_3_TG-TH_Giai Doan 3 Hong Ngu" xfId="948"/>
    <cellStyle name="_KT (2)_3_TG-TH_Giai Doan 3 Hong Ngu_1" xfId="949"/>
    <cellStyle name="_KT (2)_3_TG-TH_Giai Doan 3 Hong Ngu_Book1" xfId="950"/>
    <cellStyle name="_KT (2)_3_TG-TH_GIAO THONG" xfId="951"/>
    <cellStyle name="_KT (2)_3_TG-TH_GIAVLXD092010_1287366083109" xfId="952"/>
    <cellStyle name="_KT (2)_3_TG-TH_GT21_ CONG TIEU Þ60" xfId="953"/>
    <cellStyle name="_KT (2)_3_TG-TH_GT-KCN" xfId="954"/>
    <cellStyle name="_KT (2)_3_TG-TH_GVL4" xfId="955"/>
    <cellStyle name="_KT (2)_3_TG-TH_GVL4_1" xfId="956"/>
    <cellStyle name="_KT (2)_3_TG-TH_GVLmoi" xfId="957"/>
    <cellStyle name="_KT (2)_3_TG-TH_HA TANG KY THUAT" xfId="958"/>
    <cellStyle name="_KT (2)_3_TG-TH_HTCN-XA HOA BINH-CHO MOI" xfId="959"/>
    <cellStyle name="_KT (2)_3_TG-TH_HTGT" xfId="960"/>
    <cellStyle name="_KT (2)_3_TG-TH_HTGT-CDC BAC SON" xfId="961"/>
    <cellStyle name="_KT (2)_3_TG-TH_HTGT-TDC KENH CA MAU AP KIEN THANH 2" xfId="962"/>
    <cellStyle name="_KT (2)_3_TG-TH_HTGT-TDC NUI NOI MO RONG" xfId="963"/>
    <cellStyle name="_KT (2)_3_TG-TH_HTTN" xfId="964"/>
    <cellStyle name="_KT (2)_3_TG-TH_HTTN_1" xfId="965"/>
    <cellStyle name="_KT (2)_3_TG-TH_HTTN-LAN 2" xfId="966"/>
    <cellStyle name="_KT (2)_3_TG-TH_HTTN-TDC NUI NOI MO RONG" xfId="967"/>
    <cellStyle name="_KT (2)_3_TG-TH_k2+700" xfId="968"/>
    <cellStyle name="_KT (2)_3_TG-TH_KE BAO VE BO SONG HAU KHU VUC TRU SO TINH UY" xfId="969"/>
    <cellStyle name="_KT (2)_3_TG-TH_KE LUONG THUC" xfId="970"/>
    <cellStyle name="_KT (2)_3_TG-TH_KE LUONG THUC111" xfId="971"/>
    <cellStyle name="_KT (2)_3_TG-TH_Ke met wa" xfId="972"/>
    <cellStyle name="_KT (2)_3_TG-TH_KE THA LA" xfId="973"/>
    <cellStyle name="_KT (2)_3_TG-TH_KHAO SAT" xfId="974"/>
    <cellStyle name="_KT (2)_3_TG-TH_khao sat Du an" xfId="975"/>
    <cellStyle name="_KT (2)_3_TG-TH_KHAO SAT TRA VINH" xfId="976"/>
    <cellStyle name="_KT (2)_3_TG-TH_KHIN PHI KENH T6" xfId="977"/>
    <cellStyle name="_KT (2)_3_TG-TH_KHOI HANH-NHA NGHI TINH UY" xfId="978"/>
    <cellStyle name="_KT (2)_3_TG-TH_KHOI LUONG DE CUC BO CAI TAC - THANH DIEN" xfId="979"/>
    <cellStyle name="_KT (2)_3_TG-TH_KHOI LUONG DE CUC BO CAI TAC - THANH DIEN_1" xfId="980"/>
    <cellStyle name="_KT (2)_3_TG-TH_KHOI NHA CHINH" xfId="981"/>
    <cellStyle name="_KT (2)_3_TG-TH_KHOI THUC HANH" xfId="982"/>
    <cellStyle name="_KT (2)_3_TG-TH_KHOI XAY MOI" xfId="983"/>
    <cellStyle name="_KT (2)_3_TG-TH_KLKS TK-8 cong kenh hau" xfId="984"/>
    <cellStyle name="_KT (2)_3_TG-TH_KS - DE BAO SONG CAI OT" xfId="985"/>
    <cellStyle name="_KT (2)_3_TG-TH_KS - DE BAO SONG CAI OT_1" xfId="986"/>
    <cellStyle name="_KT (2)_3_TG-TH_KS - DE BAOCAI TAT - THANH DIEN" xfId="987"/>
    <cellStyle name="_KT (2)_3_TG-TH_KS - DE BAOCAI TAT - THANH DIEN_1" xfId="988"/>
    <cellStyle name="_KT (2)_3_TG-TH_KS - DE LAN NAM_CHO LACH" xfId="989"/>
    <cellStyle name="_KT (2)_3_TG-TH_KS - DE LAN NAM_CHO LACH_1" xfId="990"/>
    <cellStyle name="_KT (2)_3_TG-TH_KS - DE LAN NAM_CHO LACH_AD" xfId="991"/>
    <cellStyle name="_KT (2)_3_TG-TH_KS - DE LAN NAM_CHO LACH_AD_1" xfId="992"/>
    <cellStyle name="_KT (2)_3_TG-TH_KS - DE VEN SONG HAM LUONG_DAI DIEN " xfId="993"/>
    <cellStyle name="_KT (2)_3_TG-TH_KS - DE VEN SONG HAM LUONG_DAI DIEN _1" xfId="994"/>
    <cellStyle name="_KT (2)_3_TG-TH_lan 3" xfId="995"/>
    <cellStyle name="_KT (2)_3_TG-TH_Lora-tungchau" xfId="996"/>
    <cellStyle name="_KT (2)_3_TG-TH_Lora-tungchau_1" xfId="997"/>
    <cellStyle name="_KT (2)_3_TG-TH_Mau" xfId="998"/>
    <cellStyle name="_KT (2)_3_TG-TH_mauBCC" xfId="999"/>
    <cellStyle name="_KT (2)_3_TG-TH_MR TT GIOI THIEU VIEC LAM" xfId="1000"/>
    <cellStyle name="_KT (2)_3_TG-TH_NCS-TIEU HOC A TAN CHAU" xfId="1001"/>
    <cellStyle name="_KT (2)_3_TG-TH_NGHIA TRANG LS DOC BA DAC" xfId="1002"/>
    <cellStyle name="_KT (2)_3_TG-TH_NHA HANG KS THANG LOI" xfId="1003"/>
    <cellStyle name="_KT (2)_3_TG-TH_NHA LAM VIEC CHI NHANH DANG KIEM CHAU DOC" xfId="1004"/>
    <cellStyle name="_KT (2)_3_TG-TH_Nha long cho bach hoa" xfId="1005"/>
    <cellStyle name="_KT (2)_3_TG-TH_NHA VE SINH" xfId="1006"/>
    <cellStyle name="_KT (2)_3_TG-TH_NLC-KHU DAN CU AP MY TAN" xfId="1007"/>
    <cellStyle name="_KT (2)_3_TG-TH_PERSONAL" xfId="1008"/>
    <cellStyle name="_KT (2)_3_TG-TH_PERSONAL_1" xfId="1009"/>
    <cellStyle name="_KT (2)_3_TG-TH_PERSONAL_2.DT_CONG_MY SON DONG_ DC SAU THAM DINH" xfId="1010"/>
    <cellStyle name="_KT (2)_3_TG-TH_PERSONAL_2.DT_CONG_MY SON DONG_ DC SAU THAM DINH_1" xfId="1011"/>
    <cellStyle name="_KT (2)_3_TG-TH_PERSONAL_Book1" xfId="1012"/>
    <cellStyle name="_KT (2)_3_TG-TH_PERSONAL_Book1_1" xfId="1013"/>
    <cellStyle name="_KT (2)_3_TG-TH_PERSONAL_Book1_KHAO SAT TRA VINH" xfId="1014"/>
    <cellStyle name="_KT (2)_3_TG-TH_PERSONAL_Book2" xfId="1015"/>
    <cellStyle name="_KT (2)_3_TG-TH_PERSONAL_Book2_1" xfId="1016"/>
    <cellStyle name="_KT (2)_3_TG-TH_PERSONAL_DT - TAN PHU TAY A " xfId="1017"/>
    <cellStyle name="_KT (2)_3_TG-TH_PERSONAL_DT - TAN PHU TAY A _1" xfId="1018"/>
    <cellStyle name="_KT (2)_3_TG-TH_PERSONAL_DU TOAN MAU" xfId="1019"/>
    <cellStyle name="_KT (2)_3_TG-TH_PERSONAL_DU TOAN MAU_1" xfId="1020"/>
    <cellStyle name="_KT (2)_3_TG-TH_PERSONAL_GIAVLXD092010_1287366083109" xfId="1021"/>
    <cellStyle name="_KT (2)_3_TG-TH_PERSONAL_HTQ.8 GD1" xfId="1022"/>
    <cellStyle name="_KT (2)_3_TG-TH_PERSONAL_HTQ.8 GD1_1" xfId="1023"/>
    <cellStyle name="_KT (2)_3_TG-TH_PERSONAL_HTQ.8 GD1_Don gia quy 3 nam 2003 - Ban Dien Luc" xfId="1024"/>
    <cellStyle name="_KT (2)_3_TG-TH_PERSONAL_HTQ.8 GD1_Don gia quy 3 nam 2003 - Ban Dien Luc_1" xfId="1025"/>
    <cellStyle name="_KT (2)_3_TG-TH_PERSONAL_HTQ.8 GD1_ks-diachaât caàu" xfId="1026"/>
    <cellStyle name="_KT (2)_3_TG-TH_PERSONAL_HTQ.8 GD1_ks-diachaât caàu_1" xfId="1027"/>
    <cellStyle name="_KT (2)_3_TG-TH_PERSONAL_HTQ.8 GD1_NC-VL2-2003" xfId="1028"/>
    <cellStyle name="_KT (2)_3_TG-TH_PERSONAL_HTQ.8 GD1_NC-VL2-2003_1" xfId="1029"/>
    <cellStyle name="_KT (2)_3_TG-TH_PERSONAL_HTQ.8 GD1_NC-VL2-2003_1_1" xfId="1030"/>
    <cellStyle name="_KT (2)_3_TG-TH_PERSONAL_HTQ.8 GD1_NC-VL2-2003_1_1_1" xfId="1031"/>
    <cellStyle name="_KT (2)_3_TG-TH_PERSONAL_HTQ.8 GD1_XL4Test5" xfId="1032"/>
    <cellStyle name="_KT (2)_3_TG-TH_PERSONAL_HTQ.8 GD1_XL4Test5_1" xfId="1033"/>
    <cellStyle name="_KT (2)_3_TG-TH_PERSONAL_HTQ.8 GD1_XL4Test5_1_1" xfId="1034"/>
    <cellStyle name="_KT (2)_3_TG-TH_PERSONAL_HTQ.8 GD1_XL4Test5_1_1_1" xfId="1035"/>
    <cellStyle name="_KT (2)_3_TG-TH_PERSONAL_KHAO SAT TRA VINH" xfId="1036"/>
    <cellStyle name="_KT (2)_3_TG-TH_PERSONAL_KHOI LUONG DE CUC BO CAI TAC - THANH DIEN" xfId="1037"/>
    <cellStyle name="_KT (2)_3_TG-TH_PERSONAL_KHOI LUONG DE CUC BO CAI TAC - THANH DIEN_1" xfId="1038"/>
    <cellStyle name="_KT (2)_3_TG-TH_PERSONAL_KS - DE BAO SONG CAI OT" xfId="1039"/>
    <cellStyle name="_KT (2)_3_TG-TH_PERSONAL_KS - DE BAO SONG CAI OT_1" xfId="1040"/>
    <cellStyle name="_KT (2)_3_TG-TH_PERSONAL_KS - DE BAOCAI TAT - THANH DIEN" xfId="1041"/>
    <cellStyle name="_KT (2)_3_TG-TH_PERSONAL_KS - DE BAOCAI TAT - THANH DIEN_1" xfId="1042"/>
    <cellStyle name="_KT (2)_3_TG-TH_PERSONAL_KS - DE LAN NAM_CHO LACH" xfId="1043"/>
    <cellStyle name="_KT (2)_3_TG-TH_PERSONAL_KS - DE LAN NAM_CHO LACH_1" xfId="1044"/>
    <cellStyle name="_KT (2)_3_TG-TH_PERSONAL_KS - DE LAN NAM_CHO LACH_AD" xfId="1045"/>
    <cellStyle name="_KT (2)_3_TG-TH_PERSONAL_KS - DE LAN NAM_CHO LACH_AD_1" xfId="1046"/>
    <cellStyle name="_KT (2)_3_TG-TH_PERSONAL_KS - DE VEN SONG HAM LUONG_DAI DIEN " xfId="1047"/>
    <cellStyle name="_KT (2)_3_TG-TH_PERSONAL_KS - DE VEN SONG HAM LUONG_DAI DIEN _1" xfId="1048"/>
    <cellStyle name="_KT (2)_3_TG-TH_PERSONAL_QD so 957" xfId="1049"/>
    <cellStyle name="_KT (2)_3_TG-TH_PERSONAL_SO TOAN KHOI LUONG DE DAI DIEN" xfId="1050"/>
    <cellStyle name="_KT (2)_3_TG-TH_PERSONAL_SO TOAN KHOI LUONG DE DAI DIEN_1" xfId="1051"/>
    <cellStyle name="_KT (2)_3_TG-TH_PERSONAL_Tong hop KHCB 2001" xfId="1052"/>
    <cellStyle name="_KT (2)_3_TG-TH_PERSONAL_Tong hop KHCB 2001_1" xfId="1053"/>
    <cellStyle name="_KT (2)_3_TG-TH_PHUONG AN 1-TINH VET BUN" xfId="1054"/>
    <cellStyle name="_KT (2)_3_TG-TH_QD so 957" xfId="1055"/>
    <cellStyle name="_KT (2)_3_TG-TH_QT TINH UNG 2002" xfId="1056"/>
    <cellStyle name="_KT (2)_3_TG-TH_Qt-HT3PQ1(CauKho)" xfId="1057"/>
    <cellStyle name="_KT (2)_3_TG-TH_Qt-HT3PQ1(CauKho)_1" xfId="1058"/>
    <cellStyle name="_KT (2)_3_TG-TH_Qt-HT3PQ1(CauKho)_Don gia quy 3 nam 2003 - Ban Dien Luc" xfId="1059"/>
    <cellStyle name="_KT (2)_3_TG-TH_Qt-HT3PQ1(CauKho)_Don gia quy 3 nam 2003 - Ban Dien Luc_1" xfId="1060"/>
    <cellStyle name="_KT (2)_3_TG-TH_Qt-HT3PQ1(CauKho)_ks-diachaât caàu" xfId="1061"/>
    <cellStyle name="_KT (2)_3_TG-TH_Qt-HT3PQ1(CauKho)_ks-diachaât caàu_1" xfId="1062"/>
    <cellStyle name="_KT (2)_3_TG-TH_Qt-HT3PQ1(CauKho)_NC-VL2-2003" xfId="1063"/>
    <cellStyle name="_KT (2)_3_TG-TH_Qt-HT3PQ1(CauKho)_NC-VL2-2003_1" xfId="1064"/>
    <cellStyle name="_KT (2)_3_TG-TH_Qt-HT3PQ1(CauKho)_NC-VL2-2003_1_1" xfId="1065"/>
    <cellStyle name="_KT (2)_3_TG-TH_Qt-HT3PQ1(CauKho)_NC-VL2-2003_1_1_1" xfId="1066"/>
    <cellStyle name="_KT (2)_3_TG-TH_Qt-HT3PQ1(CauKho)_XL4Test5" xfId="1067"/>
    <cellStyle name="_KT (2)_3_TG-TH_Qt-HT3PQ1(CauKho)_XL4Test5_1" xfId="1068"/>
    <cellStyle name="_KT (2)_3_TG-TH_Qt-HT3PQ1(CauKho)_XL4Test5_1_1" xfId="1069"/>
    <cellStyle name="_KT (2)_3_TG-TH_Qt-HT3PQ1(CauKho)_XL4Test5_1_1_1" xfId="1070"/>
    <cellStyle name="_KT (2)_3_TG-TH_SO TOAN KHOI LUONG DE DAI DIEN" xfId="1071"/>
    <cellStyle name="_KT (2)_3_TG-TH_SO TOAN KHOI LUONG DE DAI DIEN_1" xfId="1072"/>
    <cellStyle name="_KT (2)_3_TG-TH_STKL KE BAC LIEU" xfId="1073"/>
    <cellStyle name="_KT (2)_3_TG-TH_STKL NGACAITRONG" xfId="1074"/>
    <cellStyle name="_KT (2)_3_TG-TH_TDC CON TIEN" xfId="1075"/>
    <cellStyle name="_KT (2)_3_TG-TH_th" xfId="1076"/>
    <cellStyle name="_KT (2)_3_TG-TH_THDT" xfId="1077"/>
    <cellStyle name="_KT (2)_3_TG-TH_THDT PHUOC LONG PA1(T6)" xfId="1078"/>
    <cellStyle name="_KT (2)_3_TG-TH_THDT_1" xfId="1079"/>
    <cellStyle name="_KT (2)_3_TG-TH_thoat nuoc" xfId="1080"/>
    <cellStyle name="_KT (2)_3_TG-TH_THOAT NUOC_1" xfId="1081"/>
    <cellStyle name="_KT (2)_3_TG-TH_THONG KE THEP" xfId="1082"/>
    <cellStyle name="_KT (2)_3_TG-TH_TIEU HOC A PHU HUU-BO SUNG" xfId="1083"/>
    <cellStyle name="_KT (2)_3_TG-TH_TKHC-THOIQUAN-05-04-2004" xfId="1084"/>
    <cellStyle name="_KT (2)_3_TG-TH_TKHC-THOIQUAN-05-04-2004_1" xfId="1085"/>
    <cellStyle name="_KT (2)_3_TG-TH_TMDT 4 GOI" xfId="1086"/>
    <cellStyle name="_KT (2)_3_TG-TH_TMDT GOI 2 BO BAC (tinh cp lai du phong)" xfId="1087"/>
    <cellStyle name="_KT (2)_3_TG-TH_TMDT22" xfId="1088"/>
    <cellStyle name="_KT (2)_3_TG-TH_TMDTPA1" xfId="1089"/>
    <cellStyle name="_KT (2)_3_TG-TH_TN Kenh Thay  Ban" xfId="1090"/>
    <cellStyle name="_KT (2)_3_TG-TH_TONG DU TOAN" xfId="1091"/>
    <cellStyle name="_KT (2)_3_TG-TH_TONG MUC DAU TU DC" xfId="1092"/>
    <cellStyle name="_KT (2)_3_TG-TH_TRAM Y TE PHUONG CHAU PHU A" xfId="1093"/>
    <cellStyle name="_KT (2)_3_TG-TH_TRU SO HUYEN UY PHU TAN" xfId="1094"/>
    <cellStyle name="_KT (2)_3_TG-TH_TRUNG TAM Y TE THOAI SON" xfId="1095"/>
    <cellStyle name="_KT (2)_3_TG-TH_TRUONG MAU GIAO XA AN BINH" xfId="1096"/>
    <cellStyle name="_KT (2)_3_TG-TH_TRUONG MAU GIAO XA MY PHU DONG" xfId="1097"/>
    <cellStyle name="_KT (2)_3_TG-TH_TRUONG MAU GIAO XA VINH CHAU" xfId="1098"/>
    <cellStyle name="_KT (2)_3_TG-TH_TRUONG THPT NGUYEN KHUYEN" xfId="1099"/>
    <cellStyle name="_KT (2)_3_TG-TH_TRUONG THPT NGUYEN KHUYEN-LAN 2" xfId="1100"/>
    <cellStyle name="_KT (2)_3_TG-TH_TRUONG THPT VINH BINH" xfId="1101"/>
    <cellStyle name="_KT (2)_3_TG-TH_TTXLNT-TTKYT-TONG THE-LAN 3" xfId="1102"/>
    <cellStyle name="_KT (2)_3_TG-TH_WC-BAC VAM NAO" xfId="1103"/>
    <cellStyle name="_KT (2)_3_TG-TH_XA GO" xfId="1104"/>
    <cellStyle name="_KT (2)_4" xfId="1105"/>
    <cellStyle name="_KT (2)_4_1" xfId="1106"/>
    <cellStyle name="_KT (2)_4_2.DT_CONG_MY SON DONG_ DC SAU THAM DINH" xfId="1107"/>
    <cellStyle name="_KT (2)_4_2.DT_CONG_MY SON DONG_ DC SAU THAM DINH_1" xfId="1108"/>
    <cellStyle name="_KT (2)_4_BAO CAO KLCT PT2000" xfId="1109"/>
    <cellStyle name="_KT (2)_4_BAO CAO KLCT PT2000_1" xfId="1110"/>
    <cellStyle name="_KT (2)_4_BAO CAO PT2000" xfId="1111"/>
    <cellStyle name="_KT (2)_4_BAO CAO PT2000_1" xfId="1112"/>
    <cellStyle name="_KT (2)_4_BAO CAO PT2000_Book1" xfId="1113"/>
    <cellStyle name="_KT (2)_4_BAO CAO PT2000_Book1_1" xfId="1114"/>
    <cellStyle name="_KT (2)_4_BAO CAO PT2000_Book1_ks-diachaât caàu" xfId="1115"/>
    <cellStyle name="_KT (2)_4_BAO CAO PT2000_Book1_ks-diachaât caàu_1" xfId="1116"/>
    <cellStyle name="_KT (2)_4_Bao cao XDCB 2001 - T11 KH dieu chinh 20-11-THAI" xfId="1117"/>
    <cellStyle name="_KT (2)_4_Bao cao XDCB 2001 - T11 KH dieu chinh 20-11-THAI_1" xfId="1118"/>
    <cellStyle name="_KT (2)_4_Book1" xfId="1119"/>
    <cellStyle name="_KT (2)_4_Book1_1" xfId="1120"/>
    <cellStyle name="_KT (2)_4_Book1_1 DTKS Quoi Thien" xfId="1121"/>
    <cellStyle name="_KT (2)_4_Book1_1_1" xfId="1122"/>
    <cellStyle name="_KT (2)_4_Book1_1_1_1" xfId="1123"/>
    <cellStyle name="_KT (2)_4_Book1_1_Book1" xfId="1124"/>
    <cellStyle name="_KT (2)_4_Book1_1_Book1_1" xfId="1125"/>
    <cellStyle name="_KT (2)_4_Book1_1_Book1_Book1" xfId="1126"/>
    <cellStyle name="_KT (2)_4_Book1_1_Book1_dt tham tra nha tram bien ap" xfId="1127"/>
    <cellStyle name="_KT (2)_4_Book1_1_Book1_KHAO SAT TRA VINH" xfId="1128"/>
    <cellStyle name="_KT (2)_4_Book1_1_Can Tho DINH MUC lao dong 20-09-2004" xfId="1129"/>
    <cellStyle name="_KT (2)_4_Book1_1_CDC PHU LAC XA HOA LAC" xfId="1130"/>
    <cellStyle name="_KT (2)_4_Book1_1_congPhuThoAAAAA" xfId="1131"/>
    <cellStyle name="_KT (2)_4_Book1_1_Danglam-CVC-02-2-07-Duong-goi5-Bthuy-MT-TN" xfId="1132"/>
    <cellStyle name="_KT (2)_4_Book1_1_DanhMucDonGiaVTTB_Dien_TAM" xfId="1133"/>
    <cellStyle name="_KT (2)_4_Book1_1_DanhMucDonGiaVTTB_Dien_TAM_1" xfId="1134"/>
    <cellStyle name="_KT (2)_4_Book1_1_du toan Petro" xfId="1135"/>
    <cellStyle name="_KT (2)_4_Book1_1_file TDinh" xfId="1136"/>
    <cellStyle name="_KT (2)_4_Book1_1_GIAVLXD092010_1287366083109" xfId="1137"/>
    <cellStyle name="_KT (2)_4_Book1_1_GuiChudautu-20-02-07-Thamtra-KDC-Mthan-TrNoc" xfId="1138"/>
    <cellStyle name="_KT (2)_4_Book1_1_QD so 957" xfId="1139"/>
    <cellStyle name="_KT (2)_4_Book1_2" xfId="1140"/>
    <cellStyle name="_KT (2)_4_Book1_2.DT_CONG_MY SON DONG_ DC SAU THAM DINH" xfId="1141"/>
    <cellStyle name="_KT (2)_4_Book1_2.DT_CONG_MY SON DONG_ DC SAU THAM DINH_1" xfId="1142"/>
    <cellStyle name="_KT (2)_4_Book1_2_1" xfId="1143"/>
    <cellStyle name="_KT (2)_4_Book1_2_Book1" xfId="1144"/>
    <cellStyle name="_KT (2)_4_Book1_2_Book1_cu xeo chac dc theo Nien" xfId="1145"/>
    <cellStyle name="_KT (2)_4_Book1_2_congPhuThoAAAAA" xfId="1146"/>
    <cellStyle name="_KT (2)_4_Book1_2_cu xeo chac dc theo Nien" xfId="1147"/>
    <cellStyle name="_KT (2)_4_Book1_2_dt tham tra nha tram bien ap" xfId="1148"/>
    <cellStyle name="_KT (2)_4_Book1_2_KHAO SAT TRA VINH" xfId="1149"/>
    <cellStyle name="_KT (2)_4_Book1_2_Thuyet minh cau vuot" xfId="1150"/>
    <cellStyle name="_KT (2)_4_Book1_3" xfId="1151"/>
    <cellStyle name="_KT (2)_4_Book1_3_1" xfId="1152"/>
    <cellStyle name="_KT (2)_4_Book1_3_Book1" xfId="1153"/>
    <cellStyle name="_KT (2)_4_Book1_3_Book1_cu xeo chac dc theo Nien" xfId="1154"/>
    <cellStyle name="_KT (2)_4_Book1_3_cu xeo chac dc theo Nien" xfId="1155"/>
    <cellStyle name="_KT (2)_4_Book1_3_dt tham tra nha tram bien ap" xfId="1156"/>
    <cellStyle name="_KT (2)_4_Book1_3_KHAO SAT TRA VINH" xfId="1157"/>
    <cellStyle name="_KT (2)_4_Book1_3_Thuyet minh cau vuot" xfId="1158"/>
    <cellStyle name="_KT (2)_4_Book1_4" xfId="1159"/>
    <cellStyle name="_KT (2)_4_Book1_4 CHI PHI CAM MOC GPMB" xfId="1160"/>
    <cellStyle name="_KT (2)_4_Book1_4_1" xfId="1161"/>
    <cellStyle name="_KT (2)_4_Book1_5" xfId="1162"/>
    <cellStyle name="_KT (2)_4_Book1_Book1" xfId="1163"/>
    <cellStyle name="_KT (2)_4_Book1_Book1_1" xfId="1164"/>
    <cellStyle name="_KT (2)_4_Book1_Book1_1_1" xfId="1165"/>
    <cellStyle name="_KT (2)_4_Book1_Book1_1_1_1" xfId="1166"/>
    <cellStyle name="_KT (2)_4_Book1_Book1_1_Book1" xfId="1167"/>
    <cellStyle name="_KT (2)_4_Book1_Book1_1_dt tham tra nha tram bien ap" xfId="1168"/>
    <cellStyle name="_KT (2)_4_Book1_Book1_1_KHAO SAT TRA VINH" xfId="1169"/>
    <cellStyle name="_KT (2)_4_Book1_Book1_2" xfId="1170"/>
    <cellStyle name="_KT (2)_4_Book1_Book1_2.DT_CONG_MY SON DONG_ DC SAU THAM DINH" xfId="1171"/>
    <cellStyle name="_KT (2)_4_Book1_Book1_2.DT_CONG_MY SON DONG_ DC SAU THAM DINH_1" xfId="1172"/>
    <cellStyle name="_KT (2)_4_Book1_Book1_Book1" xfId="1173"/>
    <cellStyle name="_KT (2)_4_Book1_Book1_Book1_cu xeo chac dc theo Nien" xfId="1174"/>
    <cellStyle name="_KT (2)_4_Book1_Book1_CDC PHU LAC XA HOA LAC" xfId="1175"/>
    <cellStyle name="_KT (2)_4_Book1_Book1_congPhuThoAAAAA" xfId="1176"/>
    <cellStyle name="_KT (2)_4_Book1_Book1_cu xeo chac dc theo Nien" xfId="1177"/>
    <cellStyle name="_KT (2)_4_Book1_Book1_DT - TAN PHU TAY A " xfId="1178"/>
    <cellStyle name="_KT (2)_4_Book1_Book1_DT - TAN PHU TAY A _1" xfId="1179"/>
    <cellStyle name="_KT (2)_4_Book1_Book1_dt tham tra nha tram bien ap" xfId="1180"/>
    <cellStyle name="_KT (2)_4_Book1_Book1_DU TOAN MAU" xfId="1181"/>
    <cellStyle name="_KT (2)_4_Book1_Book1_DU TOAN MAU_1" xfId="1182"/>
    <cellStyle name="_KT (2)_4_Book1_Book1_KHAO SAT TRA VINH" xfId="1183"/>
    <cellStyle name="_KT (2)_4_Book1_Book1_KHOI LUONG DE CUC BO CAI TAC - THANH DIEN" xfId="1184"/>
    <cellStyle name="_KT (2)_4_Book1_Book1_KHOI LUONG DE CUC BO CAI TAC - THANH DIEN_1" xfId="1185"/>
    <cellStyle name="_KT (2)_4_Book1_Book1_SO TOAN KHOI LUONG DE DAI DIEN" xfId="1186"/>
    <cellStyle name="_KT (2)_4_Book1_Book1_SO TOAN KHOI LUONG DE DAI DIEN_1" xfId="1187"/>
    <cellStyle name="_KT (2)_4_Book1_Book1_Thuyet minh cau vuot" xfId="1188"/>
    <cellStyle name="_KT (2)_4_Book1_Book2" xfId="1189"/>
    <cellStyle name="_KT (2)_4_Book1_Book2_1" xfId="1190"/>
    <cellStyle name="_KT (2)_4_Book1_C CHIN TUYEN" xfId="1191"/>
    <cellStyle name="_KT (2)_4_Book1_Can Tho DINH MUC lao dong 20-09-2004" xfId="1192"/>
    <cellStyle name="_KT (2)_4_Book1_CDC PHU LAC XA HOA LAC" xfId="1193"/>
    <cellStyle name="_KT (2)_4_Book1_congPhuThoAAAAA" xfId="1194"/>
    <cellStyle name="_KT (2)_4_Book1_Copy of CAU CHIN TUYEN" xfId="1195"/>
    <cellStyle name="_KT (2)_4_Book1_CUOC VAN CHUYEN" xfId="1196"/>
    <cellStyle name="_KT (2)_4_Book1_Danglam-CVC-02-2-07-Duong-goi5-Bthuy-MT-TN" xfId="1197"/>
    <cellStyle name="_KT (2)_4_Book1_DanhMucDonGiaVTTB_Dien_TAM" xfId="1198"/>
    <cellStyle name="_KT (2)_4_Book1_DanhMucDonGiaVTTB_Dien_TAM_1" xfId="1199"/>
    <cellStyle name="_KT (2)_4_Book1_DT - TAN PHU TAY A " xfId="1200"/>
    <cellStyle name="_KT (2)_4_Book1_DT - TAN PHU TAY A _1" xfId="1201"/>
    <cellStyle name="_KT (2)_4_Book1_DT CCAU SO 2" xfId="1202"/>
    <cellStyle name="_KT (2)_4_Book1_du toan bo sung TK Krong buk" xfId="1203"/>
    <cellStyle name="_KT (2)_4_Book1_Du toan Mau" xfId="1204"/>
    <cellStyle name="_KT (2)_4_Book1_DU TOAN MAU_1" xfId="1205"/>
    <cellStyle name="_KT (2)_4_Book1_du toan Petro" xfId="1206"/>
    <cellStyle name="_KT (2)_4_Book1_file TDinh" xfId="1207"/>
    <cellStyle name="_KT (2)_4_Book1_GIAO thau  TRUONG MN MUOI TAI" xfId="1208"/>
    <cellStyle name="_KT (2)_4_Book1_GIAO thau  TRUONG MN MUOI TAI_1" xfId="1209"/>
    <cellStyle name="_KT (2)_4_Book1_GIAVLXD092010_1287366083109" xfId="1210"/>
    <cellStyle name="_KT (2)_4_Book1_GT21_ CONG TIEU Þ60" xfId="1211"/>
    <cellStyle name="_KT (2)_4_Book1_GuiChudautu-20-02-07-Thamtra-KDC-Mthan-TrNoc" xfId="1212"/>
    <cellStyle name="_KT (2)_4_Book1_GVL10" xfId="1213"/>
    <cellStyle name="_KT (2)_4_Book1_KENH T11-1 R" xfId="1214"/>
    <cellStyle name="_KT (2)_4_Book1_KENH T11-6(MAU_ISO)" xfId="1215"/>
    <cellStyle name="_KT (2)_4_Book1_KHAO SAT" xfId="1216"/>
    <cellStyle name="_KT (2)_4_Book1_KHAO SAT TRA VINH" xfId="1217"/>
    <cellStyle name="_KT (2)_4_Book1_KHOI LUONG DE CUC BO CAI TAC - THANH DIEN" xfId="1218"/>
    <cellStyle name="_KT (2)_4_Book1_KHOI LUONG DE CUC BO CAI TAC - THANH DIEN_1" xfId="1219"/>
    <cellStyle name="_KT (2)_4_Book1_KS - DE BAO SONG CAI OT" xfId="1220"/>
    <cellStyle name="_KT (2)_4_Book1_KS - DE BAO SONG CAI OT_1" xfId="1221"/>
    <cellStyle name="_KT (2)_4_Book1_KS - DE BAOCAI TAT - THANH DIEN" xfId="1222"/>
    <cellStyle name="_KT (2)_4_Book1_KS - DE BAOCAI TAT - THANH DIEN_1" xfId="1223"/>
    <cellStyle name="_KT (2)_4_Book1_KS - DE LAN NAM_CHO LACH" xfId="1224"/>
    <cellStyle name="_KT (2)_4_Book1_KS - DE LAN NAM_CHO LACH_1" xfId="1225"/>
    <cellStyle name="_KT (2)_4_Book1_KS - DE LAN NAM_CHO LACH_AD" xfId="1226"/>
    <cellStyle name="_KT (2)_4_Book1_KS - DE LAN NAM_CHO LACH_AD_1" xfId="1227"/>
    <cellStyle name="_KT (2)_4_Book1_KS - DE VEN SONG HAM LUONG_DAI DIEN " xfId="1228"/>
    <cellStyle name="_KT (2)_4_Book1_KS - DE VEN SONG HAM LUONG_DAI DIEN _1" xfId="1229"/>
    <cellStyle name="_KT (2)_4_Book1_mauBCC" xfId="1230"/>
    <cellStyle name="_KT (2)_4_Book1_QD so 957" xfId="1231"/>
    <cellStyle name="_KT (2)_4_Book1_SO TOAN KHOI LUONG DE DAI DIEN" xfId="1232"/>
    <cellStyle name="_KT (2)_4_Book1_SO TOAN KHOI LUONG DE DAI DIEN_1" xfId="1233"/>
    <cellStyle name="_KT (2)_4_Book1_th" xfId="1234"/>
    <cellStyle name="_KT (2)_4_Book1_THDT" xfId="1235"/>
    <cellStyle name="_KT (2)_4_Book1_THDTGOI 21" xfId="1236"/>
    <cellStyle name="_KT (2)_4_Book1_THONG KE THEP" xfId="1237"/>
    <cellStyle name="_KT (2)_4_Book1_TIEU HOC A MY LUONG KHOI 2" xfId="1238"/>
    <cellStyle name="_KT (2)_4_Book1_TKHC-THOIQUAN-05-04-2004" xfId="1239"/>
    <cellStyle name="_KT (2)_4_Book1_TKHC-THOIQUAN-05-04-2004_1" xfId="1240"/>
    <cellStyle name="_KT (2)_4_Book1_TONG DU TOAN VINH LONG-PA1" xfId="1241"/>
    <cellStyle name="_KT (2)_4_Book1_TTXLNT-TTKYT-TONG THE" xfId="1242"/>
    <cellStyle name="_KT (2)_4_Book1_XL4Poppy" xfId="1243"/>
    <cellStyle name="_KT (2)_4_Book1_XL4Poppy_1" xfId="1244"/>
    <cellStyle name="_KT (2)_4_Book1_XL4Test5" xfId="1245"/>
    <cellStyle name="_KT (2)_4_Book1_XL4Test5_1" xfId="1246"/>
    <cellStyle name="_KT (2)_4_Book2" xfId="1247"/>
    <cellStyle name="_KT (2)_4_Book2_1" xfId="1248"/>
    <cellStyle name="_KT (2)_4_C CHIN TUYEN" xfId="1249"/>
    <cellStyle name="_KT (2)_4_Can Tho DINH MUC lao dong 20-09-2004" xfId="1250"/>
    <cellStyle name="_KT (2)_4_CDC PHU LAC XA HOA LAC" xfId="1251"/>
    <cellStyle name="_KT (2)_4_CONG 1.5.xls" xfId="1252"/>
    <cellStyle name="_KT (2)_4_Cong K2+190" xfId="1253"/>
    <cellStyle name="_KT (2)_4_Cong K2+190 ( cuoi )" xfId="1254"/>
    <cellStyle name="_KT (2)_4_CONG KENH 12" xfId="1255"/>
    <cellStyle name="_KT (2)_4_Copy of CAU CHIN TUYEN" xfId="1256"/>
    <cellStyle name="_KT (2)_4_Danglam-CVC-02-2-07-Duong-goi5-Bthuy-MT-TN" xfId="1257"/>
    <cellStyle name="_KT (2)_4_Dcdtoan-bcnckt " xfId="1258"/>
    <cellStyle name="_KT (2)_4_Dcdtoan-bcnckt _1" xfId="1259"/>
    <cellStyle name="_KT (2)_4_Dcdtoan-bcnckt _XL4Poppy" xfId="1260"/>
    <cellStyle name="_KT (2)_4_Dcdtoan-bcnckt _XL4Poppy_1" xfId="1261"/>
    <cellStyle name="_KT (2)_4_Dcdtoan-bcnckt _XL4Test5" xfId="1262"/>
    <cellStyle name="_KT (2)_4_Dcdtoan-bcnckt _XL4Test5_1" xfId="1263"/>
    <cellStyle name="_KT (2)_4_Dongia2-2003" xfId="1264"/>
    <cellStyle name="_KT (2)_4_Dongia2-2003_1" xfId="1265"/>
    <cellStyle name="_KT (2)_4_DT - TAN PHU TAY A " xfId="1266"/>
    <cellStyle name="_KT (2)_4_DT - TAN PHU TAY A _1" xfId="1267"/>
    <cellStyle name="_KT (2)_4_DT CCAU SO 2" xfId="1268"/>
    <cellStyle name="_KT (2)_4_DT Cong 2PHI 100 BONAM KENH XA NU" xfId="1269"/>
    <cellStyle name="_KT (2)_4_DT CONG BA CHUA (-1.5)" xfId="1270"/>
    <cellStyle name="_KT (2)_4_dt tham tra nha tram bien ap" xfId="1271"/>
    <cellStyle name="_KT (2)_4_DTCDT MR.2N110.HOCMON.TDTOAN.CCUNG" xfId="1272"/>
    <cellStyle name="_KT (2)_4_DTCDT MR.2N110.HOCMON.TDTOAN.CCUNG_1" xfId="1273"/>
    <cellStyle name="_KT (2)_4_DTCDT MR.2N110.HOCMON.TDTOAN.CCUNG_ks-diachaât caàu" xfId="1274"/>
    <cellStyle name="_KT (2)_4_DTCDT MR.2N110.HOCMON.TDTOAN.CCUNG_ks-diachaât caàu_1" xfId="1275"/>
    <cellStyle name="_KT (2)_4_Du phong Cong Tha La" xfId="1276"/>
    <cellStyle name="_KT (2)_4_Du toan Mau" xfId="1277"/>
    <cellStyle name="_KT (2)_4_DU TOAN MAU_1" xfId="1278"/>
    <cellStyle name="_KT (2)_4_du toan Petro" xfId="1279"/>
    <cellStyle name="_KT (2)_4_file TDinh" xfId="1280"/>
    <cellStyle name="_KT (2)_4_Giai Doan 3 Hong Ngu" xfId="1281"/>
    <cellStyle name="_KT (2)_4_Giai Doan 3 Hong Ngu_1" xfId="1282"/>
    <cellStyle name="_KT (2)_4_GIAVLXD092010_1287366083109" xfId="1283"/>
    <cellStyle name="_KT (2)_4_GT21_ CONG TIEU Þ60" xfId="1284"/>
    <cellStyle name="_KT (2)_4_GuiChudautu-20-02-07-Thamtra-KDC-Mthan-TrNoc" xfId="1285"/>
    <cellStyle name="_KT (2)_4_GVL4" xfId="1286"/>
    <cellStyle name="_KT (2)_4_GVL4_1" xfId="1287"/>
    <cellStyle name="_KT (2)_4_GVLmoi" xfId="1288"/>
    <cellStyle name="_KT (2)_4_k2+700" xfId="1289"/>
    <cellStyle name="_KT (2)_4_KE LUONG THUC" xfId="1290"/>
    <cellStyle name="_KT (2)_4_KE LUONG THUC111" xfId="1291"/>
    <cellStyle name="_KT (2)_4_Ke met wa" xfId="1292"/>
    <cellStyle name="_KT (2)_4_KE THA LA" xfId="1293"/>
    <cellStyle name="_KT (2)_4_KHAO SAT" xfId="1294"/>
    <cellStyle name="_KT (2)_4_khao sat Du an" xfId="1295"/>
    <cellStyle name="_KT (2)_4_KHAO SAT TRA VINH" xfId="1296"/>
    <cellStyle name="_KT (2)_4_KHIN PHI KENH T6" xfId="1297"/>
    <cellStyle name="_KT (2)_4_KHOI LUONG DE CUC BO CAI TAC - THANH DIEN" xfId="1298"/>
    <cellStyle name="_KT (2)_4_KHOI LUONG DE CUC BO CAI TAC - THANH DIEN_1" xfId="1299"/>
    <cellStyle name="_KT (2)_4_KLKS TK-8 cong kenh hau" xfId="1300"/>
    <cellStyle name="_KT (2)_4_KS - DE BAO SONG CAI OT" xfId="1301"/>
    <cellStyle name="_KT (2)_4_KS - DE BAO SONG CAI OT_1" xfId="1302"/>
    <cellStyle name="_KT (2)_4_KS - DE BAOCAI TAT - THANH DIEN" xfId="1303"/>
    <cellStyle name="_KT (2)_4_KS - DE BAOCAI TAT - THANH DIEN_1" xfId="1304"/>
    <cellStyle name="_KT (2)_4_KS - DE LAN NAM_CHO LACH" xfId="1305"/>
    <cellStyle name="_KT (2)_4_KS - DE LAN NAM_CHO LACH_1" xfId="1306"/>
    <cellStyle name="_KT (2)_4_KS - DE LAN NAM_CHO LACH_AD" xfId="1307"/>
    <cellStyle name="_KT (2)_4_KS - DE LAN NAM_CHO LACH_AD_1" xfId="1308"/>
    <cellStyle name="_KT (2)_4_KS - DE VEN SONG HAM LUONG_DAI DIEN " xfId="1309"/>
    <cellStyle name="_KT (2)_4_KS - DE VEN SONG HAM LUONG_DAI DIEN _1" xfId="1310"/>
    <cellStyle name="_KT (2)_4_Lora-tungchau" xfId="1311"/>
    <cellStyle name="_KT (2)_4_Lora-tungchau_1" xfId="1312"/>
    <cellStyle name="_KT (2)_4_Lora-tungchau_ks-diachaât caàu" xfId="1313"/>
    <cellStyle name="_KT (2)_4_Lora-tungchau_ks-diachaât caàu_1" xfId="1314"/>
    <cellStyle name="_KT (2)_4_mauBCC" xfId="1315"/>
    <cellStyle name="_KT (2)_4_moi" xfId="1316"/>
    <cellStyle name="_KT (2)_4_moi_1" xfId="1317"/>
    <cellStyle name="_KT (2)_4_moi_XL4Poppy" xfId="1318"/>
    <cellStyle name="_KT (2)_4_moi_XL4Poppy_1" xfId="1319"/>
    <cellStyle name="_KT (2)_4_moi_XL4Test5" xfId="1320"/>
    <cellStyle name="_KT (2)_4_moi_XL4Test5_1" xfId="1321"/>
    <cellStyle name="_KT (2)_4_PGIA-phieu tham tra Kho bac" xfId="1322"/>
    <cellStyle name="_KT (2)_4_PGIA-phieu tham tra Kho bac_1" xfId="1323"/>
    <cellStyle name="_KT (2)_4_PT02-02" xfId="1324"/>
    <cellStyle name="_KT (2)_4_PT02-02_1" xfId="1325"/>
    <cellStyle name="_KT (2)_4_PT02-02_Book1" xfId="1326"/>
    <cellStyle name="_KT (2)_4_PT02-02_Book1_1" xfId="1327"/>
    <cellStyle name="_KT (2)_4_PT02-02_Book1_ks-diachaât caàu" xfId="1328"/>
    <cellStyle name="_KT (2)_4_PT02-02_Book1_ks-diachaât caàu_1" xfId="1329"/>
    <cellStyle name="_KT (2)_4_PT02-03" xfId="1330"/>
    <cellStyle name="_KT (2)_4_PT02-03_1" xfId="1331"/>
    <cellStyle name="_KT (2)_4_PT02-03_Book1" xfId="1332"/>
    <cellStyle name="_KT (2)_4_PT02-03_Book1_1" xfId="1333"/>
    <cellStyle name="_KT (2)_4_PT02-03_Book1_ks-diachaât caàu" xfId="1334"/>
    <cellStyle name="_KT (2)_4_PT02-03_Book1_ks-diachaât caàu_1" xfId="1335"/>
    <cellStyle name="_KT (2)_4_QD so 957" xfId="1336"/>
    <cellStyle name="_KT (2)_4_QT TINH UNG 2002" xfId="1337"/>
    <cellStyle name="_KT (2)_4_Qt-HT3PQ1(CauKho)" xfId="1338"/>
    <cellStyle name="_KT (2)_4_Qt-HT3PQ1(CauKho)_1" xfId="1339"/>
    <cellStyle name="_KT (2)_4_Qt-HT3PQ1(CauKho)_Don gia quy 3 nam 2003 - Ban Dien Luc" xfId="1340"/>
    <cellStyle name="_KT (2)_4_Qt-HT3PQ1(CauKho)_Don gia quy 3 nam 2003 - Ban Dien Luc_1" xfId="1341"/>
    <cellStyle name="_KT (2)_4_Qt-HT3PQ1(CauKho)_Don gia quy 3 nam 2003 - Ban Dien Luc_ks-diachaât caàu" xfId="1342"/>
    <cellStyle name="_KT (2)_4_Qt-HT3PQ1(CauKho)_Don gia quy 3 nam 2003 - Ban Dien Luc_ks-diachaât caàu_1" xfId="1343"/>
    <cellStyle name="_KT (2)_4_Qt-HT3PQ1(CauKho)_ks-diachaât caàu" xfId="1344"/>
    <cellStyle name="_KT (2)_4_Qt-HT3PQ1(CauKho)_ks-diachaât caàu_1" xfId="1345"/>
    <cellStyle name="_KT (2)_4_Qt-HT3PQ1(CauKho)_NC-VL2-2003" xfId="1346"/>
    <cellStyle name="_KT (2)_4_Qt-HT3PQ1(CauKho)_NC-VL2-2003_1" xfId="1347"/>
    <cellStyle name="_KT (2)_4_Qt-HT3PQ1(CauKho)_NC-VL2-2003_1_1" xfId="1348"/>
    <cellStyle name="_KT (2)_4_Qt-HT3PQ1(CauKho)_NC-VL2-2003_1_1_1" xfId="1349"/>
    <cellStyle name="_KT (2)_4_Qt-HT3PQ1(CauKho)_NC-VL2-2003_1_ks-diachaât caàu" xfId="1350"/>
    <cellStyle name="_KT (2)_4_Qt-HT3PQ1(CauKho)_NC-VL2-2003_1_ks-diachaât caàu_1" xfId="1351"/>
    <cellStyle name="_KT (2)_4_Qt-HT3PQ1(CauKho)_XL4Test5" xfId="1352"/>
    <cellStyle name="_KT (2)_4_Qt-HT3PQ1(CauKho)_XL4Test5_1" xfId="1353"/>
    <cellStyle name="_KT (2)_4_Qt-HT3PQ1(CauKho)_XL4Test5_1_1" xfId="1354"/>
    <cellStyle name="_KT (2)_4_Qt-HT3PQ1(CauKho)_XL4Test5_1_1_1" xfId="1355"/>
    <cellStyle name="_KT (2)_4_Qt-HT3PQ1(CauKho)_XL4Test5_ks-diachaât caàu" xfId="1356"/>
    <cellStyle name="_KT (2)_4_Qt-HT3PQ1(CauKho)_XL4Test5_ks-diachaât caàu_1" xfId="1357"/>
    <cellStyle name="_KT (2)_4_Sheet2" xfId="1358"/>
    <cellStyle name="_KT (2)_4_Sheet2_1" xfId="1359"/>
    <cellStyle name="_KT (2)_4_SO TOAN KHOI LUONG DE DAI DIEN" xfId="1360"/>
    <cellStyle name="_KT (2)_4_SO TOAN KHOI LUONG DE DAI DIEN_1" xfId="1361"/>
    <cellStyle name="_KT (2)_4_STKL KE BAC LIEU" xfId="1362"/>
    <cellStyle name="_KT (2)_4_STKL NGACAITRONG" xfId="1363"/>
    <cellStyle name="_KT (2)_4_TG-TH" xfId="1364"/>
    <cellStyle name="_KT (2)_4_TG-TH_1" xfId="1365"/>
    <cellStyle name="_KT (2)_4_TG-TH_2.DT_CONG_MY SON DONG_ DC SAU THAM DINH" xfId="1366"/>
    <cellStyle name="_KT (2)_4_TG-TH_2.DT_CONG_MY SON DONG_ DC SAU THAM DINH_1" xfId="1367"/>
    <cellStyle name="_KT (2)_4_TG-TH_Book1" xfId="1368"/>
    <cellStyle name="_KT (2)_4_TG-TH_Book1_1" xfId="1369"/>
    <cellStyle name="_KT (2)_4_TG-TH_Book2" xfId="1370"/>
    <cellStyle name="_KT (2)_4_TG-TH_Book2_1" xfId="1371"/>
    <cellStyle name="_KT (2)_4_TG-TH_C CHIN TUYEN" xfId="1372"/>
    <cellStyle name="_KT (2)_4_TG-TH_CONG 1.5.xls" xfId="1373"/>
    <cellStyle name="_KT (2)_4_TG-TH_Cong K2+190" xfId="1374"/>
    <cellStyle name="_KT (2)_4_TG-TH_Cong K2+190 ( cuoi )" xfId="1375"/>
    <cellStyle name="_KT (2)_4_TG-TH_CONG KENH 12" xfId="1376"/>
    <cellStyle name="_KT (2)_4_TG-TH_Copy of CAU CHIN TUYEN" xfId="1377"/>
    <cellStyle name="_KT (2)_4_TG-TH_DT - TAN PHU TAY A " xfId="1378"/>
    <cellStyle name="_KT (2)_4_TG-TH_DT - TAN PHU TAY A _1" xfId="1379"/>
    <cellStyle name="_KT (2)_4_TG-TH_DT CCAU SO 2" xfId="1380"/>
    <cellStyle name="_KT (2)_4_TG-TH_DT Cong 2PHI 100 BONAM KENH XA NU" xfId="1381"/>
    <cellStyle name="_KT (2)_4_TG-TH_DT CONG BA CHUA (-1.5)" xfId="1382"/>
    <cellStyle name="_KT (2)_4_TG-TH_Du phong Cong Tha La" xfId="1383"/>
    <cellStyle name="_KT (2)_4_TG-TH_Du toan Mau" xfId="1384"/>
    <cellStyle name="_KT (2)_4_TG-TH_DU TOAN MAU_1" xfId="1385"/>
    <cellStyle name="_KT (2)_4_TG-TH_GIAVLXD092010_1287366083109" xfId="1386"/>
    <cellStyle name="_KT (2)_4_TG-TH_GT21_ CONG TIEU Þ60" xfId="1387"/>
    <cellStyle name="_KT (2)_4_TG-TH_GVL4" xfId="1388"/>
    <cellStyle name="_KT (2)_4_TG-TH_GVL4_1" xfId="1389"/>
    <cellStyle name="_KT (2)_4_TG-TH_GVLmoi" xfId="1390"/>
    <cellStyle name="_KT (2)_4_TG-TH_k2+700" xfId="1391"/>
    <cellStyle name="_KT (2)_4_TG-TH_KE LUONG THUC" xfId="1392"/>
    <cellStyle name="_KT (2)_4_TG-TH_KE LUONG THUC111" xfId="1393"/>
    <cellStyle name="_KT (2)_4_TG-TH_Ke met wa" xfId="1394"/>
    <cellStyle name="_KT (2)_4_TG-TH_KE THA LA" xfId="1395"/>
    <cellStyle name="_KT (2)_4_TG-TH_KHAO SAT" xfId="1396"/>
    <cellStyle name="_KT (2)_4_TG-TH_khao sat Du an" xfId="1397"/>
    <cellStyle name="_KT (2)_4_TG-TH_KHAO SAT TRA VINH" xfId="1398"/>
    <cellStyle name="_KT (2)_4_TG-TH_KHIN PHI KENH T6" xfId="1399"/>
    <cellStyle name="_KT (2)_4_TG-TH_KHOI LUONG DE CUC BO CAI TAC - THANH DIEN" xfId="1400"/>
    <cellStyle name="_KT (2)_4_TG-TH_KHOI LUONG DE CUC BO CAI TAC - THANH DIEN_1" xfId="1401"/>
    <cellStyle name="_KT (2)_4_TG-TH_KLKS TK-8 cong kenh hau" xfId="1402"/>
    <cellStyle name="_KT (2)_4_TG-TH_KS - DE BAO SONG CAI OT" xfId="1403"/>
    <cellStyle name="_KT (2)_4_TG-TH_KS - DE BAO SONG CAI OT_1" xfId="1404"/>
    <cellStyle name="_KT (2)_4_TG-TH_KS - DE BAOCAI TAT - THANH DIEN" xfId="1405"/>
    <cellStyle name="_KT (2)_4_TG-TH_KS - DE BAOCAI TAT - THANH DIEN_1" xfId="1406"/>
    <cellStyle name="_KT (2)_4_TG-TH_KS - DE LAN NAM_CHO LACH" xfId="1407"/>
    <cellStyle name="_KT (2)_4_TG-TH_KS - DE LAN NAM_CHO LACH_1" xfId="1408"/>
    <cellStyle name="_KT (2)_4_TG-TH_KS - DE LAN NAM_CHO LACH_AD" xfId="1409"/>
    <cellStyle name="_KT (2)_4_TG-TH_KS - DE LAN NAM_CHO LACH_AD_1" xfId="1410"/>
    <cellStyle name="_KT (2)_4_TG-TH_KS - DE VEN SONG HAM LUONG_DAI DIEN " xfId="1411"/>
    <cellStyle name="_KT (2)_4_TG-TH_KS - DE VEN SONG HAM LUONG_DAI DIEN _1" xfId="1412"/>
    <cellStyle name="_KT (2)_4_TG-TH_QD so 957" xfId="1413"/>
    <cellStyle name="_KT (2)_4_TG-TH_SO TOAN KHOI LUONG DE DAI DIEN" xfId="1414"/>
    <cellStyle name="_KT (2)_4_TG-TH_SO TOAN KHOI LUONG DE DAI DIEN_1" xfId="1415"/>
    <cellStyle name="_KT (2)_4_TG-TH_STKL KE BAC LIEU" xfId="1416"/>
    <cellStyle name="_KT (2)_4_TG-TH_STKL NGACAITRONG" xfId="1417"/>
    <cellStyle name="_KT (2)_4_TG-TH_th" xfId="1418"/>
    <cellStyle name="_KT (2)_4_TG-TH_THDT" xfId="1419"/>
    <cellStyle name="_KT (2)_4_TG-TH_THDT PHUOC LONG PA1(T6)" xfId="1420"/>
    <cellStyle name="_KT (2)_4_TG-TH_THDT_1" xfId="1421"/>
    <cellStyle name="_KT (2)_4_TG-TH_THONG KE THEP" xfId="1422"/>
    <cellStyle name="_KT (2)_4_TG-TH_TMDT 4 GOI" xfId="1423"/>
    <cellStyle name="_KT (2)_4_TG-TH_TMDT GOI 2 BO BAC (tinh cp lai du phong)" xfId="1424"/>
    <cellStyle name="_KT (2)_4_TG-TH_TMDT22" xfId="1425"/>
    <cellStyle name="_KT (2)_4_TG-TH_TMDTPA1" xfId="1426"/>
    <cellStyle name="_KT (2)_4_TG-TH_TONG DU TOAN" xfId="1427"/>
    <cellStyle name="_KT (2)_4_TG-TH_TONG MUC DAU TU DC" xfId="1428"/>
    <cellStyle name="_KT (2)_4_th" xfId="1429"/>
    <cellStyle name="_KT (2)_4_THDT" xfId="1430"/>
    <cellStyle name="_KT (2)_4_THDT PHUOC LONG PA1(T6)" xfId="1431"/>
    <cellStyle name="_KT (2)_4_THDT_1" xfId="1432"/>
    <cellStyle name="_KT (2)_4_THONG KE THEP" xfId="1433"/>
    <cellStyle name="_KT (2)_4_TKHC-THOIQUAN-05-04-2004" xfId="1434"/>
    <cellStyle name="_KT (2)_4_TKHC-THOIQUAN-05-04-2004_1" xfId="1435"/>
    <cellStyle name="_KT (2)_4_TMDT 4 GOI" xfId="1436"/>
    <cellStyle name="_KT (2)_4_TMDT GOI 2 BO BAC (tinh cp lai du phong)" xfId="1437"/>
    <cellStyle name="_KT (2)_4_TMDT22" xfId="1438"/>
    <cellStyle name="_KT (2)_4_TMDTPA1" xfId="1439"/>
    <cellStyle name="_KT (2)_4_TONG DU TOAN" xfId="1440"/>
    <cellStyle name="_KT (2)_4_TONG MUC DAU TU DC" xfId="1441"/>
    <cellStyle name="_KT (2)_4_XL4Poppy" xfId="1442"/>
    <cellStyle name="_KT (2)_4_XL4Poppy_1" xfId="1443"/>
    <cellStyle name="_KT (2)_4_XL4Poppy_XL4Test5" xfId="1444"/>
    <cellStyle name="_KT (2)_4_XL4Poppy_XL4Test5_1" xfId="1445"/>
    <cellStyle name="_KT (2)_4_XL4Test5" xfId="1446"/>
    <cellStyle name="_KT (2)_4_XL4Test5_1" xfId="1447"/>
    <cellStyle name="_KT (2)_5" xfId="1448"/>
    <cellStyle name="_KT (2)_5_1" xfId="1449"/>
    <cellStyle name="_KT (2)_5_2.DT_CONG_MY SON DONG_ DC SAU THAM DINH" xfId="1450"/>
    <cellStyle name="_KT (2)_5_2.DT_CONG_MY SON DONG_ DC SAU THAM DINH_1" xfId="1451"/>
    <cellStyle name="_KT (2)_5_BAO CAO KLCT PT2000" xfId="1452"/>
    <cellStyle name="_KT (2)_5_BAO CAO KLCT PT2000_1" xfId="1453"/>
    <cellStyle name="_KT (2)_5_BAO CAO PT2000" xfId="1454"/>
    <cellStyle name="_KT (2)_5_BAO CAO PT2000_1" xfId="1455"/>
    <cellStyle name="_KT (2)_5_BAO CAO PT2000_Book1" xfId="1456"/>
    <cellStyle name="_KT (2)_5_BAO CAO PT2000_Book1_1" xfId="1457"/>
    <cellStyle name="_KT (2)_5_Bao cao XDCB 2001 - T11 KH dieu chinh 20-11-THAI" xfId="1458"/>
    <cellStyle name="_KT (2)_5_Bao cao XDCB 2001 - T11 KH dieu chinh 20-11-THAI_1" xfId="1459"/>
    <cellStyle name="_KT (2)_5_Book1" xfId="1460"/>
    <cellStyle name="_KT (2)_5_Book1_1" xfId="1461"/>
    <cellStyle name="_KT (2)_5_Book1_1 DTKS Quoi Thien" xfId="1462"/>
    <cellStyle name="_KT (2)_5_Book1_1_1" xfId="1463"/>
    <cellStyle name="_KT (2)_5_Book1_1_1_1" xfId="1464"/>
    <cellStyle name="_KT (2)_5_Book1_1_Book1" xfId="1465"/>
    <cellStyle name="_KT (2)_5_Book1_1_Book1_1" xfId="1466"/>
    <cellStyle name="_KT (2)_5_Book1_1_Book1_Book1" xfId="1467"/>
    <cellStyle name="_KT (2)_5_Book1_1_Book1_dt tham tra nha tram bien ap" xfId="1468"/>
    <cellStyle name="_KT (2)_5_Book1_1_Book1_KHAO SAT TRA VINH" xfId="1469"/>
    <cellStyle name="_KT (2)_5_Book1_1_Can Tho DINH MUC lao dong 20-09-2004" xfId="1470"/>
    <cellStyle name="_KT (2)_5_Book1_1_CDC PHU LAC XA HOA LAC" xfId="1471"/>
    <cellStyle name="_KT (2)_5_Book1_1_congPhuThoAAAAA" xfId="1472"/>
    <cellStyle name="_KT (2)_5_Book1_1_Danglam-CVC-02-2-07-Duong-goi5-Bthuy-MT-TN" xfId="1473"/>
    <cellStyle name="_KT (2)_5_Book1_1_DanhMucDonGiaVTTB_Dien_TAM" xfId="1474"/>
    <cellStyle name="_KT (2)_5_Book1_1_DanhMucDonGiaVTTB_Dien_TAM_1" xfId="1475"/>
    <cellStyle name="_KT (2)_5_Book1_1_du toan Petro" xfId="1476"/>
    <cellStyle name="_KT (2)_5_Book1_1_file TDinh" xfId="1477"/>
    <cellStyle name="_KT (2)_5_Book1_1_GIAVLXD092010_1287366083109" xfId="1478"/>
    <cellStyle name="_KT (2)_5_Book1_1_GuiChudautu-20-02-07-Thamtra-KDC-Mthan-TrNoc" xfId="1479"/>
    <cellStyle name="_KT (2)_5_Book1_1_QD so 957" xfId="1480"/>
    <cellStyle name="_KT (2)_5_Book1_2" xfId="1481"/>
    <cellStyle name="_KT (2)_5_Book1_2.DT_CONG_MY SON DONG_ DC SAU THAM DINH" xfId="1482"/>
    <cellStyle name="_KT (2)_5_Book1_2.DT_CONG_MY SON DONG_ DC SAU THAM DINH_1" xfId="1483"/>
    <cellStyle name="_KT (2)_5_Book1_2_1" xfId="1484"/>
    <cellStyle name="_KT (2)_5_Book1_2_Book1" xfId="1485"/>
    <cellStyle name="_KT (2)_5_Book1_2_Book1_cu xeo chac dc theo Nien" xfId="1486"/>
    <cellStyle name="_KT (2)_5_Book1_2_congPhuThoAAAAA" xfId="1487"/>
    <cellStyle name="_KT (2)_5_Book1_2_cu xeo chac dc theo Nien" xfId="1488"/>
    <cellStyle name="_KT (2)_5_Book1_2_dt tham tra nha tram bien ap" xfId="1489"/>
    <cellStyle name="_KT (2)_5_Book1_2_KHAO SAT TRA VINH" xfId="1490"/>
    <cellStyle name="_KT (2)_5_Book1_2_Thuyet minh cau vuot" xfId="1491"/>
    <cellStyle name="_KT (2)_5_Book1_3" xfId="1492"/>
    <cellStyle name="_KT (2)_5_Book1_3_1" xfId="1493"/>
    <cellStyle name="_KT (2)_5_Book1_3_Book1" xfId="1494"/>
    <cellStyle name="_KT (2)_5_Book1_3_Book1_cu xeo chac dc theo Nien" xfId="1495"/>
    <cellStyle name="_KT (2)_5_Book1_3_cu xeo chac dc theo Nien" xfId="1496"/>
    <cellStyle name="_KT (2)_5_Book1_3_dt tham tra nha tram bien ap" xfId="1497"/>
    <cellStyle name="_KT (2)_5_Book1_3_KHAO SAT TRA VINH" xfId="1498"/>
    <cellStyle name="_KT (2)_5_Book1_3_Thuyet minh cau vuot" xfId="1499"/>
    <cellStyle name="_KT (2)_5_Book1_4" xfId="1500"/>
    <cellStyle name="_KT (2)_5_Book1_4 CHI PHI CAM MOC GPMB" xfId="1501"/>
    <cellStyle name="_KT (2)_5_Book1_4_1" xfId="1502"/>
    <cellStyle name="_KT (2)_5_Book1_5" xfId="1503"/>
    <cellStyle name="_KT (2)_5_Book1_BC-QT-WB-dthao" xfId="1504"/>
    <cellStyle name="_KT (2)_5_Book1_BC-QT-WB-dthao_1" xfId="1505"/>
    <cellStyle name="_KT (2)_5_Book1_BC-QT-WB-dthao_ks-diachaât caàu" xfId="1506"/>
    <cellStyle name="_KT (2)_5_Book1_BC-QT-WB-dthao_ks-diachaât caàu_1" xfId="1507"/>
    <cellStyle name="_KT (2)_5_Book1_Book1" xfId="1508"/>
    <cellStyle name="_KT (2)_5_Book1_Book1_1" xfId="1509"/>
    <cellStyle name="_KT (2)_5_Book1_Book1_1_1" xfId="1510"/>
    <cellStyle name="_KT (2)_5_Book1_Book1_1_1_1" xfId="1511"/>
    <cellStyle name="_KT (2)_5_Book1_Book1_1_Book1" xfId="1512"/>
    <cellStyle name="_KT (2)_5_Book1_Book1_1_dt tham tra nha tram bien ap" xfId="1513"/>
    <cellStyle name="_KT (2)_5_Book1_Book1_1_KHAO SAT TRA VINH" xfId="1514"/>
    <cellStyle name="_KT (2)_5_Book1_Book1_2" xfId="1515"/>
    <cellStyle name="_KT (2)_5_Book1_Book1_2.DT_CONG_MY SON DONG_ DC SAU THAM DINH" xfId="1516"/>
    <cellStyle name="_KT (2)_5_Book1_Book1_2.DT_CONG_MY SON DONG_ DC SAU THAM DINH_1" xfId="1517"/>
    <cellStyle name="_KT (2)_5_Book1_Book1_Book1" xfId="1518"/>
    <cellStyle name="_KT (2)_5_Book1_Book1_Book1_cu xeo chac dc theo Nien" xfId="1519"/>
    <cellStyle name="_KT (2)_5_Book1_Book1_CDC PHU LAC XA HOA LAC" xfId="1520"/>
    <cellStyle name="_KT (2)_5_Book1_Book1_congPhuThoAAAAA" xfId="1521"/>
    <cellStyle name="_KT (2)_5_Book1_Book1_cu xeo chac dc theo Nien" xfId="1522"/>
    <cellStyle name="_KT (2)_5_Book1_Book1_DT - TAN PHU TAY A " xfId="1523"/>
    <cellStyle name="_KT (2)_5_Book1_Book1_DT - TAN PHU TAY A _1" xfId="1524"/>
    <cellStyle name="_KT (2)_5_Book1_Book1_dt tham tra nha tram bien ap" xfId="1525"/>
    <cellStyle name="_KT (2)_5_Book1_Book1_DU TOAN MAU" xfId="1526"/>
    <cellStyle name="_KT (2)_5_Book1_Book1_DU TOAN MAU_1" xfId="1527"/>
    <cellStyle name="_KT (2)_5_Book1_Book1_KHAO SAT TRA VINH" xfId="1528"/>
    <cellStyle name="_KT (2)_5_Book1_Book1_KHOI LUONG DE CUC BO CAI TAC - THANH DIEN" xfId="1529"/>
    <cellStyle name="_KT (2)_5_Book1_Book1_KHOI LUONG DE CUC BO CAI TAC - THANH DIEN_1" xfId="1530"/>
    <cellStyle name="_KT (2)_5_Book1_Book1_SO TOAN KHOI LUONG DE DAI DIEN" xfId="1531"/>
    <cellStyle name="_KT (2)_5_Book1_Book1_SO TOAN KHOI LUONG DE DAI DIEN_1" xfId="1532"/>
    <cellStyle name="_KT (2)_5_Book1_Book1_Thuyet minh cau vuot" xfId="1533"/>
    <cellStyle name="_KT (2)_5_Book1_Book2" xfId="1534"/>
    <cellStyle name="_KT (2)_5_Book1_Book2_1" xfId="1535"/>
    <cellStyle name="_KT (2)_5_Book1_C CHIN TUYEN" xfId="1536"/>
    <cellStyle name="_KT (2)_5_Book1_Can Tho DINH MUC lao dong 20-09-2004" xfId="1537"/>
    <cellStyle name="_KT (2)_5_Book1_CDC PHU LAC XA HOA LAC" xfId="1538"/>
    <cellStyle name="_KT (2)_5_Book1_congPhuThoAAAAA" xfId="1539"/>
    <cellStyle name="_KT (2)_5_Book1_Copy of CAU CHIN TUYEN" xfId="1540"/>
    <cellStyle name="_KT (2)_5_Book1_CUOC VAN CHUYEN" xfId="1541"/>
    <cellStyle name="_KT (2)_5_Book1_Danglam-CVC-02-2-07-Duong-goi5-Bthuy-MT-TN" xfId="1542"/>
    <cellStyle name="_KT (2)_5_Book1_DanhMucDonGiaVTTB_Dien_TAM" xfId="1543"/>
    <cellStyle name="_KT (2)_5_Book1_DanhMucDonGiaVTTB_Dien_TAM_1" xfId="1544"/>
    <cellStyle name="_KT (2)_5_Book1_DT - TAN PHU TAY A " xfId="1545"/>
    <cellStyle name="_KT (2)_5_Book1_DT - TAN PHU TAY A _1" xfId="1546"/>
    <cellStyle name="_KT (2)_5_Book1_DT CCAU SO 2" xfId="1547"/>
    <cellStyle name="_KT (2)_5_Book1_du toan bo sung TK Krong buk" xfId="1548"/>
    <cellStyle name="_KT (2)_5_Book1_Du toan Mau" xfId="1549"/>
    <cellStyle name="_KT (2)_5_Book1_DU TOAN MAU_1" xfId="1550"/>
    <cellStyle name="_KT (2)_5_Book1_du toan Petro" xfId="1551"/>
    <cellStyle name="_KT (2)_5_Book1_file TDinh" xfId="1552"/>
    <cellStyle name="_KT (2)_5_Book1_GIAO thau  TRUONG MN MUOI TAI" xfId="1553"/>
    <cellStyle name="_KT (2)_5_Book1_GIAO thau  TRUONG MN MUOI TAI_1" xfId="1554"/>
    <cellStyle name="_KT (2)_5_Book1_GIAVLXD092010_1287366083109" xfId="1555"/>
    <cellStyle name="_KT (2)_5_Book1_GT21_ CONG TIEU Þ60" xfId="1556"/>
    <cellStyle name="_KT (2)_5_Book1_GuiChudautu-20-02-07-Thamtra-KDC-Mthan-TrNoc" xfId="1557"/>
    <cellStyle name="_KT (2)_5_Book1_GVL10" xfId="1558"/>
    <cellStyle name="_KT (2)_5_Book1_KENH T11-1 R" xfId="1559"/>
    <cellStyle name="_KT (2)_5_Book1_KENH T11-6(MAU_ISO)" xfId="1560"/>
    <cellStyle name="_KT (2)_5_Book1_KHAO SAT" xfId="1561"/>
    <cellStyle name="_KT (2)_5_Book1_KHAO SAT TRA VINH" xfId="1562"/>
    <cellStyle name="_KT (2)_5_Book1_KHOI LUONG DE CUC BO CAI TAC - THANH DIEN" xfId="1563"/>
    <cellStyle name="_KT (2)_5_Book1_KHOI LUONG DE CUC BO CAI TAC - THANH DIEN_1" xfId="1564"/>
    <cellStyle name="_KT (2)_5_Book1_KS - DE BAO SONG CAI OT" xfId="1565"/>
    <cellStyle name="_KT (2)_5_Book1_KS - DE BAO SONG CAI OT_1" xfId="1566"/>
    <cellStyle name="_KT (2)_5_Book1_KS - DE BAOCAI TAT - THANH DIEN" xfId="1567"/>
    <cellStyle name="_KT (2)_5_Book1_KS - DE BAOCAI TAT - THANH DIEN_1" xfId="1568"/>
    <cellStyle name="_KT (2)_5_Book1_KS - DE LAN NAM_CHO LACH" xfId="1569"/>
    <cellStyle name="_KT (2)_5_Book1_KS - DE LAN NAM_CHO LACH_1" xfId="1570"/>
    <cellStyle name="_KT (2)_5_Book1_KS - DE LAN NAM_CHO LACH_AD" xfId="1571"/>
    <cellStyle name="_KT (2)_5_Book1_KS - DE LAN NAM_CHO LACH_AD_1" xfId="1572"/>
    <cellStyle name="_KT (2)_5_Book1_KS - DE VEN SONG HAM LUONG_DAI DIEN " xfId="1573"/>
    <cellStyle name="_KT (2)_5_Book1_KS - DE VEN SONG HAM LUONG_DAI DIEN _1" xfId="1574"/>
    <cellStyle name="_KT (2)_5_Book1_mauBCC" xfId="1575"/>
    <cellStyle name="_KT (2)_5_Book1_QD so 957" xfId="1576"/>
    <cellStyle name="_KT (2)_5_Book1_SO TOAN KHOI LUONG DE DAI DIEN" xfId="1577"/>
    <cellStyle name="_KT (2)_5_Book1_SO TOAN KHOI LUONG DE DAI DIEN_1" xfId="1578"/>
    <cellStyle name="_KT (2)_5_Book1_th" xfId="1579"/>
    <cellStyle name="_KT (2)_5_Book1_THDT" xfId="1580"/>
    <cellStyle name="_KT (2)_5_Book1_THDTGOI 21" xfId="1581"/>
    <cellStyle name="_KT (2)_5_Book1_THONG KE THEP" xfId="1582"/>
    <cellStyle name="_KT (2)_5_Book1_TIEU HOC A MY LUONG KHOI 2" xfId="1583"/>
    <cellStyle name="_KT (2)_5_Book1_TKHC-THOIQUAN-05-04-2004" xfId="1584"/>
    <cellStyle name="_KT (2)_5_Book1_TKHC-THOIQUAN-05-04-2004_1" xfId="1585"/>
    <cellStyle name="_KT (2)_5_Book1_TONG DU TOAN VINH LONG-PA1" xfId="1586"/>
    <cellStyle name="_KT (2)_5_Book1_TTXLNT-TTKYT-TONG THE" xfId="1587"/>
    <cellStyle name="_KT (2)_5_Book1_XL4Poppy" xfId="1588"/>
    <cellStyle name="_KT (2)_5_Book1_XL4Poppy_1" xfId="1589"/>
    <cellStyle name="_KT (2)_5_Book1_XL4Poppy_ks-diachaât caàu" xfId="1590"/>
    <cellStyle name="_KT (2)_5_Book1_XL4Poppy_ks-diachaât caàu_1" xfId="1591"/>
    <cellStyle name="_KT (2)_5_Book1_XL4Test5" xfId="1592"/>
    <cellStyle name="_KT (2)_5_Book1_XL4Test5_1" xfId="1593"/>
    <cellStyle name="_KT (2)_5_Book1_XL4Test5_ks-diachaât caàu" xfId="1594"/>
    <cellStyle name="_KT (2)_5_Book1_XL4Test5_ks-diachaât caàu_1" xfId="1595"/>
    <cellStyle name="_KT (2)_5_Book2" xfId="1596"/>
    <cellStyle name="_KT (2)_5_Book2_1" xfId="1597"/>
    <cellStyle name="_KT (2)_5_C CHIN TUYEN" xfId="1598"/>
    <cellStyle name="_KT (2)_5_Can Tho DINH MUC lao dong 20-09-2004" xfId="1599"/>
    <cellStyle name="_KT (2)_5_CDC PHU LAC XA HOA LAC" xfId="1600"/>
    <cellStyle name="_KT (2)_5_CONG 1.5.xls" xfId="1601"/>
    <cellStyle name="_KT (2)_5_Cong K2+190" xfId="1602"/>
    <cellStyle name="_KT (2)_5_Cong K2+190 ( cuoi )" xfId="1603"/>
    <cellStyle name="_KT (2)_5_CONG KENH 12" xfId="1604"/>
    <cellStyle name="_KT (2)_5_Copy of CAU CHIN TUYEN" xfId="1605"/>
    <cellStyle name="_KT (2)_5_Danglam-CVC-02-2-07-Duong-goi5-Bthuy-MT-TN" xfId="1606"/>
    <cellStyle name="_KT (2)_5_Dcdtoan-bcnckt " xfId="1607"/>
    <cellStyle name="_KT (2)_5_Dcdtoan-bcnckt _1" xfId="1608"/>
    <cellStyle name="_KT (2)_5_Dcdtoan-bcnckt _XL4Poppy" xfId="1609"/>
    <cellStyle name="_KT (2)_5_Dcdtoan-bcnckt _XL4Poppy_1" xfId="1610"/>
    <cellStyle name="_KT (2)_5_Dcdtoan-bcnckt _XL4Test5" xfId="1611"/>
    <cellStyle name="_KT (2)_5_Dcdtoan-bcnckt _XL4Test5_1" xfId="1612"/>
    <cellStyle name="_KT (2)_5_Dongia2-2003" xfId="1613"/>
    <cellStyle name="_KT (2)_5_Dongia2-2003_1" xfId="1614"/>
    <cellStyle name="_KT (2)_5_DT - TAN PHU TAY A " xfId="1615"/>
    <cellStyle name="_KT (2)_5_DT - TAN PHU TAY A _1" xfId="1616"/>
    <cellStyle name="_KT (2)_5_DT CCAU SO 2" xfId="1617"/>
    <cellStyle name="_KT (2)_5_DT Cong 2PHI 100 BONAM KENH XA NU" xfId="1618"/>
    <cellStyle name="_KT (2)_5_DT CONG BA CHUA (-1.5)" xfId="1619"/>
    <cellStyle name="_KT (2)_5_dt tham tra nha tram bien ap" xfId="1620"/>
    <cellStyle name="_KT (2)_5_DTCDT MR.2N110.HOCMON.TDTOAN.CCUNG" xfId="1621"/>
    <cellStyle name="_KT (2)_5_DTCDT MR.2N110.HOCMON.TDTOAN.CCUNG_1" xfId="1622"/>
    <cellStyle name="_KT (2)_5_Du phong Cong Tha La" xfId="1623"/>
    <cellStyle name="_KT (2)_5_Du toan Mau" xfId="1624"/>
    <cellStyle name="_KT (2)_5_DU TOAN MAU_1" xfId="1625"/>
    <cellStyle name="_KT (2)_5_du toan Petro" xfId="1626"/>
    <cellStyle name="_KT (2)_5_file TDinh" xfId="1627"/>
    <cellStyle name="_KT (2)_5_Giai Doan 3 Hong Ngu" xfId="1628"/>
    <cellStyle name="_KT (2)_5_Giai Doan 3 Hong Ngu_1" xfId="1629"/>
    <cellStyle name="_KT (2)_5_GIAVLXD092010_1287366083109" xfId="1630"/>
    <cellStyle name="_KT (2)_5_GT21_ CONG TIEU Þ60" xfId="1631"/>
    <cellStyle name="_KT (2)_5_GuiChudautu-20-02-07-Thamtra-KDC-Mthan-TrNoc" xfId="1632"/>
    <cellStyle name="_KT (2)_5_GVL4" xfId="1633"/>
    <cellStyle name="_KT (2)_5_GVL4_1" xfId="1634"/>
    <cellStyle name="_KT (2)_5_GVLmoi" xfId="1635"/>
    <cellStyle name="_KT (2)_5_k2+700" xfId="1636"/>
    <cellStyle name="_KT (2)_5_KE LUONG THUC" xfId="1637"/>
    <cellStyle name="_KT (2)_5_KE LUONG THUC111" xfId="1638"/>
    <cellStyle name="_KT (2)_5_Ke met wa" xfId="1639"/>
    <cellStyle name="_KT (2)_5_KE THA LA" xfId="1640"/>
    <cellStyle name="_KT (2)_5_KHAO SAT" xfId="1641"/>
    <cellStyle name="_KT (2)_5_khao sat Du an" xfId="1642"/>
    <cellStyle name="_KT (2)_5_KHAO SAT TRA VINH" xfId="1643"/>
    <cellStyle name="_KT (2)_5_KHIN PHI KENH T6" xfId="1644"/>
    <cellStyle name="_KT (2)_5_KHOI LUONG DE CUC BO CAI TAC - THANH DIEN" xfId="1645"/>
    <cellStyle name="_KT (2)_5_KHOI LUONG DE CUC BO CAI TAC - THANH DIEN_1" xfId="1646"/>
    <cellStyle name="_KT (2)_5_KLKS TK-8 cong kenh hau" xfId="1647"/>
    <cellStyle name="_KT (2)_5_KS - DE BAO SONG CAI OT" xfId="1648"/>
    <cellStyle name="_KT (2)_5_KS - DE BAO SONG CAI OT_1" xfId="1649"/>
    <cellStyle name="_KT (2)_5_KS - DE BAOCAI TAT - THANH DIEN" xfId="1650"/>
    <cellStyle name="_KT (2)_5_KS - DE BAOCAI TAT - THANH DIEN_1" xfId="1651"/>
    <cellStyle name="_KT (2)_5_KS - DE LAN NAM_CHO LACH" xfId="1652"/>
    <cellStyle name="_KT (2)_5_KS - DE LAN NAM_CHO LACH_1" xfId="1653"/>
    <cellStyle name="_KT (2)_5_KS - DE LAN NAM_CHO LACH_AD" xfId="1654"/>
    <cellStyle name="_KT (2)_5_KS - DE LAN NAM_CHO LACH_AD_1" xfId="1655"/>
    <cellStyle name="_KT (2)_5_KS - DE VEN SONG HAM LUONG_DAI DIEN " xfId="1656"/>
    <cellStyle name="_KT (2)_5_KS - DE VEN SONG HAM LUONG_DAI DIEN _1" xfId="1657"/>
    <cellStyle name="_KT (2)_5_Lora-tungchau" xfId="1658"/>
    <cellStyle name="_KT (2)_5_Lora-tungchau_1" xfId="1659"/>
    <cellStyle name="_KT (2)_5_mauBCC" xfId="1660"/>
    <cellStyle name="_KT (2)_5_moi" xfId="1661"/>
    <cellStyle name="_KT (2)_5_moi_1" xfId="1662"/>
    <cellStyle name="_KT (2)_5_moi_XL4Poppy" xfId="1663"/>
    <cellStyle name="_KT (2)_5_moi_XL4Poppy_1" xfId="1664"/>
    <cellStyle name="_KT (2)_5_moi_XL4Test5" xfId="1665"/>
    <cellStyle name="_KT (2)_5_moi_XL4Test5_1" xfId="1666"/>
    <cellStyle name="_KT (2)_5_PGIA-phieu tham tra Kho bac" xfId="1667"/>
    <cellStyle name="_KT (2)_5_PGIA-phieu tham tra Kho bac_1" xfId="1668"/>
    <cellStyle name="_KT (2)_5_PT02-02" xfId="1669"/>
    <cellStyle name="_KT (2)_5_PT02-02_1" xfId="1670"/>
    <cellStyle name="_KT (2)_5_PT02-02_Book1" xfId="1671"/>
    <cellStyle name="_KT (2)_5_PT02-02_Book1_1" xfId="1672"/>
    <cellStyle name="_KT (2)_5_PT02-03" xfId="1673"/>
    <cellStyle name="_KT (2)_5_PT02-03_1" xfId="1674"/>
    <cellStyle name="_KT (2)_5_PT02-03_Book1" xfId="1675"/>
    <cellStyle name="_KT (2)_5_PT02-03_Book1_1" xfId="1676"/>
    <cellStyle name="_KT (2)_5_QD so 957" xfId="1677"/>
    <cellStyle name="_KT (2)_5_QT TINH UNG 2002" xfId="1678"/>
    <cellStyle name="_KT (2)_5_Qt-HT3PQ1(CauKho)" xfId="1679"/>
    <cellStyle name="_KT (2)_5_Qt-HT3PQ1(CauKho)_1" xfId="1680"/>
    <cellStyle name="_KT (2)_5_Qt-HT3PQ1(CauKho)_Don gia quy 3 nam 2003 - Ban Dien Luc" xfId="1681"/>
    <cellStyle name="_KT (2)_5_Qt-HT3PQ1(CauKho)_Don gia quy 3 nam 2003 - Ban Dien Luc_1" xfId="1682"/>
    <cellStyle name="_KT (2)_5_Qt-HT3PQ1(CauKho)_ks-diachaât caàu" xfId="1683"/>
    <cellStyle name="_KT (2)_5_Qt-HT3PQ1(CauKho)_ks-diachaât caàu_1" xfId="1684"/>
    <cellStyle name="_KT (2)_5_Qt-HT3PQ1(CauKho)_NC-VL2-2003" xfId="1685"/>
    <cellStyle name="_KT (2)_5_Qt-HT3PQ1(CauKho)_NC-VL2-2003_1" xfId="1686"/>
    <cellStyle name="_KT (2)_5_Qt-HT3PQ1(CauKho)_NC-VL2-2003_1_1" xfId="1687"/>
    <cellStyle name="_KT (2)_5_Qt-HT3PQ1(CauKho)_NC-VL2-2003_1_1_1" xfId="1688"/>
    <cellStyle name="_KT (2)_5_Qt-HT3PQ1(CauKho)_XL4Test5" xfId="1689"/>
    <cellStyle name="_KT (2)_5_Qt-HT3PQ1(CauKho)_XL4Test5_1" xfId="1690"/>
    <cellStyle name="_KT (2)_5_Qt-HT3PQ1(CauKho)_XL4Test5_1_1" xfId="1691"/>
    <cellStyle name="_KT (2)_5_Qt-HT3PQ1(CauKho)_XL4Test5_1_1_1" xfId="1692"/>
    <cellStyle name="_KT (2)_5_Sheet2" xfId="1693"/>
    <cellStyle name="_KT (2)_5_Sheet2_1" xfId="1694"/>
    <cellStyle name="_KT (2)_5_SO TOAN KHOI LUONG DE DAI DIEN" xfId="1695"/>
    <cellStyle name="_KT (2)_5_SO TOAN KHOI LUONG DE DAI DIEN_1" xfId="1696"/>
    <cellStyle name="_KT (2)_5_STKL KE BAC LIEU" xfId="1697"/>
    <cellStyle name="_KT (2)_5_STKL NGACAITRONG" xfId="1698"/>
    <cellStyle name="_KT (2)_5_th" xfId="1699"/>
    <cellStyle name="_KT (2)_5_THDT" xfId="1700"/>
    <cellStyle name="_KT (2)_5_THDT PHUOC LONG PA1(T6)" xfId="1701"/>
    <cellStyle name="_KT (2)_5_THDT_1" xfId="1702"/>
    <cellStyle name="_KT (2)_5_THONG KE THEP" xfId="1703"/>
    <cellStyle name="_KT (2)_5_TKHC-THOIQUAN-05-04-2004" xfId="1704"/>
    <cellStyle name="_KT (2)_5_TKHC-THOIQUAN-05-04-2004_1" xfId="1705"/>
    <cellStyle name="_KT (2)_5_TMDT 4 GOI" xfId="1706"/>
    <cellStyle name="_KT (2)_5_TMDT GOI 2 BO BAC (tinh cp lai du phong)" xfId="1707"/>
    <cellStyle name="_KT (2)_5_TMDT22" xfId="1708"/>
    <cellStyle name="_KT (2)_5_TMDTPA1" xfId="1709"/>
    <cellStyle name="_KT (2)_5_TONG DU TOAN" xfId="1710"/>
    <cellStyle name="_KT (2)_5_TONG MUC DAU TU DC" xfId="1711"/>
    <cellStyle name="_KT (2)_5_XL4Poppy" xfId="1712"/>
    <cellStyle name="_KT (2)_5_XL4Poppy_1" xfId="1713"/>
    <cellStyle name="_KT (2)_5_XL4Poppy_XL4Test5" xfId="1714"/>
    <cellStyle name="_KT (2)_5_XL4Poppy_XL4Test5_1" xfId="1715"/>
    <cellStyle name="_KT (2)_5_XL4Test5" xfId="1716"/>
    <cellStyle name="_KT (2)_5_XL4Test5_1" xfId="1717"/>
    <cellStyle name="_KT (2)_BO KE THI TRAN TAN CHAU-GD2" xfId="1718"/>
    <cellStyle name="_KT (2)_Book1" xfId="1719"/>
    <cellStyle name="_KT (2)_Book1_1" xfId="1720"/>
    <cellStyle name="_KT (2)_Book1_1_1" xfId="1721"/>
    <cellStyle name="_KT (2)_Book1_1_1_1" xfId="1722"/>
    <cellStyle name="_KT (2)_Book1_1_Book1" xfId="1723"/>
    <cellStyle name="_KT (2)_Book1_1_Book1_1" xfId="1724"/>
    <cellStyle name="_KT (2)_Book1_1_Book1_KHAO SAT TRA VINH" xfId="1725"/>
    <cellStyle name="_KT (2)_Book1_1_Can Tho DINH MUC lao dong 20-09-2004" xfId="1726"/>
    <cellStyle name="_KT (2)_Book1_1_GIAVLXD092010_1287366083109" xfId="1727"/>
    <cellStyle name="_KT (2)_Book1_1_QD so 957" xfId="1728"/>
    <cellStyle name="_KT (2)_Book1_2" xfId="1729"/>
    <cellStyle name="_KT (2)_Book1_2.DT_CONG_MY SON DONG_ DC SAU THAM DINH" xfId="1730"/>
    <cellStyle name="_KT (2)_Book1_2.DT_CONG_MY SON DONG_ DC SAU THAM DINH_1" xfId="1731"/>
    <cellStyle name="_KT (2)_Book1_2_1" xfId="1732"/>
    <cellStyle name="_KT (2)_Book1_2_KHAO SAT TRA VINH" xfId="1733"/>
    <cellStyle name="_KT (2)_Book1_3" xfId="1734"/>
    <cellStyle name="_KT (2)_Book1_3_KHAO SAT TRA VINH" xfId="1735"/>
    <cellStyle name="_KT (2)_Book1_4" xfId="1736"/>
    <cellStyle name="_KT (2)_Book1_BC-QT-WB-dthao" xfId="1737"/>
    <cellStyle name="_KT (2)_Book1_BC-QT-WB-dthao_1" xfId="1738"/>
    <cellStyle name="_KT (2)_Book1_BC-QT-WB-dthao_ks-diachaât caàu" xfId="1739"/>
    <cellStyle name="_KT (2)_Book1_BC-QT-WB-dthao_ks-diachaât caàu_1" xfId="1740"/>
    <cellStyle name="_KT (2)_Book1_BO KE THI TRAN TAN CHAU-GD2" xfId="1741"/>
    <cellStyle name="_KT (2)_Book1_Book1" xfId="1742"/>
    <cellStyle name="_KT (2)_Book1_Book1_1" xfId="1743"/>
    <cellStyle name="_KT (2)_Book1_Book1_1_1" xfId="1744"/>
    <cellStyle name="_KT (2)_Book1_Book1_1_1_1" xfId="1745"/>
    <cellStyle name="_KT (2)_Book1_Book1_1_KHAO SAT TRA VINH" xfId="1746"/>
    <cellStyle name="_KT (2)_Book1_Book1_2.DT_CONG_MY SON DONG_ DC SAU THAM DINH" xfId="1747"/>
    <cellStyle name="_KT (2)_Book1_Book1_2.DT_CONG_MY SON DONG_ DC SAU THAM DINH_1" xfId="1748"/>
    <cellStyle name="_KT (2)_Book1_Book1_Book1" xfId="1749"/>
    <cellStyle name="_KT (2)_Book1_Book1_DT - TAN PHU TAY A " xfId="1750"/>
    <cellStyle name="_KT (2)_Book1_Book1_DT - TAN PHU TAY A _1" xfId="1751"/>
    <cellStyle name="_KT (2)_Book1_Book1_dt tham tra nha tram bien ap" xfId="1752"/>
    <cellStyle name="_KT (2)_Book1_Book1_DU TOAN MAU" xfId="1753"/>
    <cellStyle name="_KT (2)_Book1_Book1_DU TOAN MAU_1" xfId="1754"/>
    <cellStyle name="_KT (2)_Book1_Book1_KHAO SAT TRA VINH" xfId="1755"/>
    <cellStyle name="_KT (2)_Book1_Book1_KHOI LUONG DE CUC BO CAI TAC - THANH DIEN" xfId="1756"/>
    <cellStyle name="_KT (2)_Book1_Book1_KHOI LUONG DE CUC BO CAI TAC - THANH DIEN_1" xfId="1757"/>
    <cellStyle name="_KT (2)_Book1_Book1_SO TOAN KHOI LUONG DE DAI DIEN" xfId="1758"/>
    <cellStyle name="_KT (2)_Book1_Book1_SO TOAN KHOI LUONG DE DAI DIEN_1" xfId="1759"/>
    <cellStyle name="_KT (2)_Book1_Can Tho DINH MUC lao dong 20-09-2004" xfId="1760"/>
    <cellStyle name="_KT (2)_Book1_CAP NUOC XUAN TO-TINH BIEN" xfId="1761"/>
    <cellStyle name="_KT (2)_Book1_CHO SON HIEP-AN BINH" xfId="1762"/>
    <cellStyle name="_KT (2)_Book1_Danglam-CVC-02-2-07-Duong-goi5-Bthuy-MT-TN" xfId="1763"/>
    <cellStyle name="_KT (2)_Book1_DT - TAN PHU TAY A " xfId="1764"/>
    <cellStyle name="_KT (2)_Book1_DT - TAN PHU TAY A _1" xfId="1765"/>
    <cellStyle name="_KT (2)_Book1_DU TOAN MAU" xfId="1766"/>
    <cellStyle name="_KT (2)_Book1_DU TOAN MAU_1" xfId="1767"/>
    <cellStyle name="_KT (2)_Book1_du toan Petro" xfId="1768"/>
    <cellStyle name="_KT (2)_Book1_DUONG TIEP NOI TDC KENH CHA VA - KENH QUYT" xfId="1769"/>
    <cellStyle name="_KT (2)_Book1_DUONG TIEP NOI TDC KENH CHA VA - KENH QUYT-LAN 2" xfId="1770"/>
    <cellStyle name="_KT (2)_Book1_file TDinh" xfId="1771"/>
    <cellStyle name="_KT (2)_Book1_GIA CUA" xfId="1772"/>
    <cellStyle name="_KT (2)_Book1_GIAO thau  TRUONG MN MUOI TAI" xfId="1773"/>
    <cellStyle name="_KT (2)_Book1_GIAO thau  TRUONG MN MUOI TAI_1" xfId="1774"/>
    <cellStyle name="_KT (2)_Book1_GIAO THONG" xfId="1775"/>
    <cellStyle name="_KT (2)_Book1_GIAVLXD092010_1287366083109" xfId="1776"/>
    <cellStyle name="_KT (2)_Book1_GT-KCN" xfId="1777"/>
    <cellStyle name="_KT (2)_Book1_GuiChudautu-20-02-07-Thamtra-KDC-Mthan-TrNoc" xfId="1778"/>
    <cellStyle name="_KT (2)_Book1_HA TANG KY THUAT" xfId="1779"/>
    <cellStyle name="_KT (2)_Book1_HTCN-XA HOA BINH-CHO MOI" xfId="1780"/>
    <cellStyle name="_KT (2)_Book1_HTGT" xfId="1781"/>
    <cellStyle name="_KT (2)_Book1_HTGT-CDC BAC SON" xfId="1782"/>
    <cellStyle name="_KT (2)_Book1_HTGT-TDC KENH CA MAU AP KIEN THANH 2" xfId="1783"/>
    <cellStyle name="_KT (2)_Book1_HTGT-TDC NUI NOI MO RONG" xfId="1784"/>
    <cellStyle name="_KT (2)_Book1_HTTN" xfId="1785"/>
    <cellStyle name="_KT (2)_Book1_HTTN_1" xfId="1786"/>
    <cellStyle name="_KT (2)_Book1_HTTN-LAN 2" xfId="1787"/>
    <cellStyle name="_KT (2)_Book1_HTTN-TDC NUI NOI MO RONG" xfId="1788"/>
    <cellStyle name="_KT (2)_Book1_KE BAO VE BO SONG HAU KHU VUC TRU SO TINH UY" xfId="1789"/>
    <cellStyle name="_KT (2)_Book1_KHAO SAT" xfId="1790"/>
    <cellStyle name="_KT (2)_Book1_KHO LUU TRU" xfId="1791"/>
    <cellStyle name="_KT (2)_Book1_KHOI HANH-NHA NGHI TINH UY" xfId="1792"/>
    <cellStyle name="_KT (2)_Book1_KHOI LUONG DE CUC BO CAI TAC - THANH DIEN" xfId="1793"/>
    <cellStyle name="_KT (2)_Book1_KHOI LUONG DE CUC BO CAI TAC - THANH DIEN_1" xfId="1794"/>
    <cellStyle name="_KT (2)_Book1_KHOI NHA CHINH" xfId="1795"/>
    <cellStyle name="_KT (2)_Book1_KHOI THUC HANH" xfId="1796"/>
    <cellStyle name="_KT (2)_Book1_KHOI XAY MOI" xfId="1797"/>
    <cellStyle name="_KT (2)_Book1_lan 3" xfId="1798"/>
    <cellStyle name="_KT (2)_Book1_Mau" xfId="1799"/>
    <cellStyle name="_KT (2)_Book1_mauBCC" xfId="1800"/>
    <cellStyle name="_KT (2)_Book1_MR TT GIOI THIEU VIEC LAM" xfId="1801"/>
    <cellStyle name="_KT (2)_Book1_NCS-TIEU HOC A TAN CHAU" xfId="1802"/>
    <cellStyle name="_KT (2)_Book1_NGHIA TRANG LS DOC BA DAC" xfId="1803"/>
    <cellStyle name="_KT (2)_Book1_NHA HANG KS THANG LOI" xfId="1804"/>
    <cellStyle name="_KT (2)_Book1_NHA LAM VIEC CHI NHANH DANG KIEM CHAU DOC" xfId="1805"/>
    <cellStyle name="_KT (2)_Book1_Nha long cho bach hoa" xfId="1806"/>
    <cellStyle name="_KT (2)_Book1_NHA VE SINH" xfId="1807"/>
    <cellStyle name="_KT (2)_Book1_NLC-KHU DAN CU AP MY TAN" xfId="1808"/>
    <cellStyle name="_KT (2)_Book1_PHUONG AN 1-TINH VET BUN" xfId="1809"/>
    <cellStyle name="_KT (2)_Book1_QD so 957" xfId="1810"/>
    <cellStyle name="_KT (2)_Book1_SO TOAN KHOI LUONG DE DAI DIEN" xfId="1811"/>
    <cellStyle name="_KT (2)_Book1_SO TOAN KHOI LUONG DE DAI DIEN_1" xfId="1812"/>
    <cellStyle name="_KT (2)_Book1_TDC CON TIEN" xfId="1813"/>
    <cellStyle name="_KT (2)_Book1_thoat nuoc" xfId="1814"/>
    <cellStyle name="_KT (2)_Book1_THOAT NUOC_1" xfId="1815"/>
    <cellStyle name="_KT (2)_Book1_TIEU HOC A PHU HUU-BO SUNG" xfId="1816"/>
    <cellStyle name="_KT (2)_Book1_TKHC-THOIQUAN-05-04-2004" xfId="1817"/>
    <cellStyle name="_KT (2)_Book1_TKHC-THOIQUAN-05-04-2004_1" xfId="1818"/>
    <cellStyle name="_KT (2)_Book1_TRAM Y TE PHUONG CHAU PHU A" xfId="1819"/>
    <cellStyle name="_KT (2)_Book1_TRU SO HUYEN UY PHU TAN" xfId="1820"/>
    <cellStyle name="_KT (2)_Book1_TRUNG TAM Y TE THOAI SON" xfId="1821"/>
    <cellStyle name="_KT (2)_Book1_TRUONG MAU GIAO XA AN BINH" xfId="1822"/>
    <cellStyle name="_KT (2)_Book1_TRUONG MAU GIAO XA VINH CHAU" xfId="1823"/>
    <cellStyle name="_KT (2)_Book1_TRUONG THPT NGUYEN KHUYEN" xfId="1824"/>
    <cellStyle name="_KT (2)_Book1_TRUONG THPT NGUYEN KHUYEN-LAN 2" xfId="1825"/>
    <cellStyle name="_KT (2)_Book1_TRUONG THPT VINH BINH" xfId="1826"/>
    <cellStyle name="_KT (2)_Book1_TTXLNT-TTKYT-TONG THE-LAN 3" xfId="1827"/>
    <cellStyle name="_KT (2)_Book1_WC-BAC VAM NAO" xfId="1828"/>
    <cellStyle name="_KT (2)_Book1_XA GO" xfId="1829"/>
    <cellStyle name="_KT (2)_Book2" xfId="1830"/>
    <cellStyle name="_KT (2)_Book2_1" xfId="1831"/>
    <cellStyle name="_KT (2)_C CHIN TUYEN" xfId="1832"/>
    <cellStyle name="_KT (2)_Can Tho DINH MUC lao dong 20-09-2004" xfId="1833"/>
    <cellStyle name="_KT (2)_CAP NUOC XUAN TO-TINH BIEN" xfId="1834"/>
    <cellStyle name="_KT (2)_CHO SON HIEP-AN BINH" xfId="1835"/>
    <cellStyle name="_KT (2)_CONG 1.5.xls" xfId="1836"/>
    <cellStyle name="_KT (2)_Cong K2+190" xfId="1837"/>
    <cellStyle name="_KT (2)_Cong K2+190 ( cuoi )" xfId="1838"/>
    <cellStyle name="_KT (2)_CONG KENH 12" xfId="1839"/>
    <cellStyle name="_KT (2)_Copy of CAU CHIN TUYEN" xfId="1840"/>
    <cellStyle name="_KT (2)_DT - TAN PHU TAY A " xfId="1841"/>
    <cellStyle name="_KT (2)_DT - TAN PHU TAY A _1" xfId="1842"/>
    <cellStyle name="_KT (2)_DT CCAU SO 2" xfId="1843"/>
    <cellStyle name="_KT (2)_DT Cong 2PHI 100 BONAM KENH XA NU" xfId="1844"/>
    <cellStyle name="_KT (2)_DT CONG BA CHUA (-1.5)" xfId="1845"/>
    <cellStyle name="_KT (2)_dt tham tra nha tram bien ap" xfId="1846"/>
    <cellStyle name="_KT (2)_Du phong Cong Tha La" xfId="1847"/>
    <cellStyle name="_KT (2)_Du toan Mau" xfId="1848"/>
    <cellStyle name="_KT (2)_DU TOAN MAU_1" xfId="1849"/>
    <cellStyle name="_KT (2)_DUONG TIEP NOI TDC KENH CHA VA - KENH QUYT" xfId="1850"/>
    <cellStyle name="_KT (2)_DUONG TIEP NOI TDC KENH CHA VA - KENH QUYT-LAN 2" xfId="1851"/>
    <cellStyle name="_KT (2)_GIA CUA" xfId="1852"/>
    <cellStyle name="_KT (2)_Giai Doan 3 Hong Ngu" xfId="1853"/>
    <cellStyle name="_KT (2)_Giai Doan 3 Hong Ngu_1" xfId="1854"/>
    <cellStyle name="_KT (2)_Giai Doan 3 Hong Ngu_Book1" xfId="1855"/>
    <cellStyle name="_KT (2)_GIAO THONG" xfId="1856"/>
    <cellStyle name="_KT (2)_GIAVLXD092010_1287366083109" xfId="1857"/>
    <cellStyle name="_KT (2)_GT21_ CONG TIEU Þ60" xfId="1858"/>
    <cellStyle name="_KT (2)_GT-KCN" xfId="1859"/>
    <cellStyle name="_KT (2)_GVL4" xfId="1860"/>
    <cellStyle name="_KT (2)_GVL4_1" xfId="1861"/>
    <cellStyle name="_KT (2)_GVLmoi" xfId="1862"/>
    <cellStyle name="_KT (2)_HA TANG KY THUAT" xfId="1863"/>
    <cellStyle name="_KT (2)_HTCN-XA HOA BINH-CHO MOI" xfId="1864"/>
    <cellStyle name="_KT (2)_HTGT" xfId="1865"/>
    <cellStyle name="_KT (2)_HTGT-CDC BAC SON" xfId="1866"/>
    <cellStyle name="_KT (2)_HTGT-TDC KENH CA MAU AP KIEN THANH 2" xfId="1867"/>
    <cellStyle name="_KT (2)_HTGT-TDC NUI NOI MO RONG" xfId="1868"/>
    <cellStyle name="_KT (2)_HTTN" xfId="1869"/>
    <cellStyle name="_KT (2)_HTTN_1" xfId="1870"/>
    <cellStyle name="_KT (2)_HTTN-LAN 2" xfId="1871"/>
    <cellStyle name="_KT (2)_HTTN-TDC NUI NOI MO RONG" xfId="1872"/>
    <cellStyle name="_KT (2)_k2+700" xfId="1873"/>
    <cellStyle name="_KT (2)_KE BAO VE BO SONG HAU KHU VUC TRU SO TINH UY" xfId="1874"/>
    <cellStyle name="_KT (2)_KE LUONG THUC" xfId="1875"/>
    <cellStyle name="_KT (2)_KE LUONG THUC111" xfId="1876"/>
    <cellStyle name="_KT (2)_Ke met wa" xfId="1877"/>
    <cellStyle name="_KT (2)_KE THA LA" xfId="1878"/>
    <cellStyle name="_KT (2)_KHAO SAT" xfId="1879"/>
    <cellStyle name="_KT (2)_khao sat Du an" xfId="1880"/>
    <cellStyle name="_KT (2)_KHAO SAT TRA VINH" xfId="1881"/>
    <cellStyle name="_KT (2)_KHIN PHI KENH T6" xfId="1882"/>
    <cellStyle name="_KT (2)_KHOI HANH-NHA NGHI TINH UY" xfId="1883"/>
    <cellStyle name="_KT (2)_KHOI LUONG DE CUC BO CAI TAC - THANH DIEN" xfId="1884"/>
    <cellStyle name="_KT (2)_KHOI LUONG DE CUC BO CAI TAC - THANH DIEN_1" xfId="1885"/>
    <cellStyle name="_KT (2)_KHOI NHA CHINH" xfId="1886"/>
    <cellStyle name="_KT (2)_KHOI THUC HANH" xfId="1887"/>
    <cellStyle name="_KT (2)_KHOI XAY MOI" xfId="1888"/>
    <cellStyle name="_KT (2)_KLKS TK-8 cong kenh hau" xfId="1889"/>
    <cellStyle name="_KT (2)_KS - DE BAO SONG CAI OT" xfId="1890"/>
    <cellStyle name="_KT (2)_KS - DE BAO SONG CAI OT_1" xfId="1891"/>
    <cellStyle name="_KT (2)_KS - DE BAOCAI TAT - THANH DIEN" xfId="1892"/>
    <cellStyle name="_KT (2)_KS - DE BAOCAI TAT - THANH DIEN_1" xfId="1893"/>
    <cellStyle name="_KT (2)_KS - DE LAN NAM_CHO LACH" xfId="1894"/>
    <cellStyle name="_KT (2)_KS - DE LAN NAM_CHO LACH_1" xfId="1895"/>
    <cellStyle name="_KT (2)_KS - DE LAN NAM_CHO LACH_AD" xfId="1896"/>
    <cellStyle name="_KT (2)_KS - DE LAN NAM_CHO LACH_AD_1" xfId="1897"/>
    <cellStyle name="_KT (2)_KS - DE VEN SONG HAM LUONG_DAI DIEN " xfId="1898"/>
    <cellStyle name="_KT (2)_KS - DE VEN SONG HAM LUONG_DAI DIEN _1" xfId="1899"/>
    <cellStyle name="_KT (2)_lan 3" xfId="1900"/>
    <cellStyle name="_KT (2)_Lora-tungchau" xfId="1901"/>
    <cellStyle name="_KT (2)_Lora-tungchau_1" xfId="1902"/>
    <cellStyle name="_KT (2)_Mau" xfId="1903"/>
    <cellStyle name="_KT (2)_mauBCC" xfId="1904"/>
    <cellStyle name="_KT (2)_MR TT GIOI THIEU VIEC LAM" xfId="1905"/>
    <cellStyle name="_KT (2)_NCS-TIEU HOC A TAN CHAU" xfId="1906"/>
    <cellStyle name="_KT (2)_NGHIA TRANG LS DOC BA DAC" xfId="1907"/>
    <cellStyle name="_KT (2)_NHA HANG KS THANG LOI" xfId="1908"/>
    <cellStyle name="_KT (2)_NHA LAM VIEC CHI NHANH DANG KIEM CHAU DOC" xfId="1909"/>
    <cellStyle name="_KT (2)_Nha long cho bach hoa" xfId="1910"/>
    <cellStyle name="_KT (2)_NHA VE SINH" xfId="1911"/>
    <cellStyle name="_KT (2)_NLC-KHU DAN CU AP MY TAN" xfId="1912"/>
    <cellStyle name="_KT (2)_PERSONAL" xfId="1913"/>
    <cellStyle name="_KT (2)_PERSONAL_1" xfId="1914"/>
    <cellStyle name="_KT (2)_PERSONAL_2.DT_CONG_MY SON DONG_ DC SAU THAM DINH" xfId="1915"/>
    <cellStyle name="_KT (2)_PERSONAL_2.DT_CONG_MY SON DONG_ DC SAU THAM DINH_1" xfId="1916"/>
    <cellStyle name="_KT (2)_PERSONAL_Book1" xfId="1917"/>
    <cellStyle name="_KT (2)_PERSONAL_Book1_1" xfId="1918"/>
    <cellStyle name="_KT (2)_PERSONAL_Book1_KHAO SAT TRA VINH" xfId="1919"/>
    <cellStyle name="_KT (2)_PERSONAL_Book2" xfId="1920"/>
    <cellStyle name="_KT (2)_PERSONAL_Book2_1" xfId="1921"/>
    <cellStyle name="_KT (2)_PERSONAL_DT - TAN PHU TAY A " xfId="1922"/>
    <cellStyle name="_KT (2)_PERSONAL_DT - TAN PHU TAY A _1" xfId="1923"/>
    <cellStyle name="_KT (2)_PERSONAL_DU TOAN MAU" xfId="1924"/>
    <cellStyle name="_KT (2)_PERSONAL_DU TOAN MAU_1" xfId="1925"/>
    <cellStyle name="_KT (2)_PERSONAL_GIAVLXD092010_1287366083109" xfId="1926"/>
    <cellStyle name="_KT (2)_PERSONAL_HTQ.8 GD1" xfId="1927"/>
    <cellStyle name="_KT (2)_PERSONAL_HTQ.8 GD1_1" xfId="1928"/>
    <cellStyle name="_KT (2)_PERSONAL_HTQ.8 GD1_Don gia quy 3 nam 2003 - Ban Dien Luc" xfId="1929"/>
    <cellStyle name="_KT (2)_PERSONAL_HTQ.8 GD1_Don gia quy 3 nam 2003 - Ban Dien Luc_1" xfId="1930"/>
    <cellStyle name="_KT (2)_PERSONAL_HTQ.8 GD1_ks-diachaât caàu" xfId="1931"/>
    <cellStyle name="_KT (2)_PERSONAL_HTQ.8 GD1_ks-diachaât caàu_1" xfId="1932"/>
    <cellStyle name="_KT (2)_PERSONAL_HTQ.8 GD1_NC-VL2-2003" xfId="1933"/>
    <cellStyle name="_KT (2)_PERSONAL_HTQ.8 GD1_NC-VL2-2003_1" xfId="1934"/>
    <cellStyle name="_KT (2)_PERSONAL_HTQ.8 GD1_NC-VL2-2003_1_1" xfId="1935"/>
    <cellStyle name="_KT (2)_PERSONAL_HTQ.8 GD1_NC-VL2-2003_1_1_1" xfId="1936"/>
    <cellStyle name="_KT (2)_PERSONAL_HTQ.8 GD1_XL4Test5" xfId="1937"/>
    <cellStyle name="_KT (2)_PERSONAL_HTQ.8 GD1_XL4Test5_1" xfId="1938"/>
    <cellStyle name="_KT (2)_PERSONAL_HTQ.8 GD1_XL4Test5_1_1" xfId="1939"/>
    <cellStyle name="_KT (2)_PERSONAL_HTQ.8 GD1_XL4Test5_1_1_1" xfId="1940"/>
    <cellStyle name="_KT (2)_PERSONAL_KHAO SAT TRA VINH" xfId="1941"/>
    <cellStyle name="_KT (2)_PERSONAL_KHOI LUONG DE CUC BO CAI TAC - THANH DIEN" xfId="1942"/>
    <cellStyle name="_KT (2)_PERSONAL_KHOI LUONG DE CUC BO CAI TAC - THANH DIEN_1" xfId="1943"/>
    <cellStyle name="_KT (2)_PERSONAL_KS - DE BAO SONG CAI OT" xfId="1944"/>
    <cellStyle name="_KT (2)_PERSONAL_KS - DE BAO SONG CAI OT_1" xfId="1945"/>
    <cellStyle name="_KT (2)_PERSONAL_KS - DE BAOCAI TAT - THANH DIEN" xfId="1946"/>
    <cellStyle name="_KT (2)_PERSONAL_KS - DE BAOCAI TAT - THANH DIEN_1" xfId="1947"/>
    <cellStyle name="_KT (2)_PERSONAL_KS - DE LAN NAM_CHO LACH" xfId="1948"/>
    <cellStyle name="_KT (2)_PERSONAL_KS - DE LAN NAM_CHO LACH_1" xfId="1949"/>
    <cellStyle name="_KT (2)_PERSONAL_KS - DE LAN NAM_CHO LACH_AD" xfId="1950"/>
    <cellStyle name="_KT (2)_PERSONAL_KS - DE LAN NAM_CHO LACH_AD_1" xfId="1951"/>
    <cellStyle name="_KT (2)_PERSONAL_KS - DE VEN SONG HAM LUONG_DAI DIEN " xfId="1952"/>
    <cellStyle name="_KT (2)_PERSONAL_KS - DE VEN SONG HAM LUONG_DAI DIEN _1" xfId="1953"/>
    <cellStyle name="_KT (2)_PERSONAL_QD so 957" xfId="1954"/>
    <cellStyle name="_KT (2)_PERSONAL_SO TOAN KHOI LUONG DE DAI DIEN" xfId="1955"/>
    <cellStyle name="_KT (2)_PERSONAL_SO TOAN KHOI LUONG DE DAI DIEN_1" xfId="1956"/>
    <cellStyle name="_KT (2)_PERSONAL_Tong hop KHCB 2001" xfId="1957"/>
    <cellStyle name="_KT (2)_PERSONAL_Tong hop KHCB 2001_1" xfId="1958"/>
    <cellStyle name="_KT (2)_PHUONG AN 1-TINH VET BUN" xfId="1959"/>
    <cellStyle name="_KT (2)_QD so 957" xfId="1960"/>
    <cellStyle name="_KT (2)_QT TINH UNG 2002" xfId="1961"/>
    <cellStyle name="_KT (2)_Qt-HT3PQ1(CauKho)" xfId="1962"/>
    <cellStyle name="_KT (2)_Qt-HT3PQ1(CauKho)_1" xfId="1963"/>
    <cellStyle name="_KT (2)_Qt-HT3PQ1(CauKho)_Don gia quy 3 nam 2003 - Ban Dien Luc" xfId="1964"/>
    <cellStyle name="_KT (2)_Qt-HT3PQ1(CauKho)_Don gia quy 3 nam 2003 - Ban Dien Luc_1" xfId="1965"/>
    <cellStyle name="_KT (2)_Qt-HT3PQ1(CauKho)_ks-diachaât caàu" xfId="1966"/>
    <cellStyle name="_KT (2)_Qt-HT3PQ1(CauKho)_ks-diachaât caàu_1" xfId="1967"/>
    <cellStyle name="_KT (2)_Qt-HT3PQ1(CauKho)_NC-VL2-2003" xfId="1968"/>
    <cellStyle name="_KT (2)_Qt-HT3PQ1(CauKho)_NC-VL2-2003_1" xfId="1969"/>
    <cellStyle name="_KT (2)_Qt-HT3PQ1(CauKho)_NC-VL2-2003_1_1" xfId="1970"/>
    <cellStyle name="_KT (2)_Qt-HT3PQ1(CauKho)_NC-VL2-2003_1_1_1" xfId="1971"/>
    <cellStyle name="_KT (2)_Qt-HT3PQ1(CauKho)_XL4Test5" xfId="1972"/>
    <cellStyle name="_KT (2)_Qt-HT3PQ1(CauKho)_XL4Test5_1" xfId="1973"/>
    <cellStyle name="_KT (2)_Qt-HT3PQ1(CauKho)_XL4Test5_1_1" xfId="1974"/>
    <cellStyle name="_KT (2)_Qt-HT3PQ1(CauKho)_XL4Test5_1_1_1" xfId="1975"/>
    <cellStyle name="_KT (2)_SO TOAN KHOI LUONG DE DAI DIEN" xfId="1976"/>
    <cellStyle name="_KT (2)_SO TOAN KHOI LUONG DE DAI DIEN_1" xfId="1977"/>
    <cellStyle name="_KT (2)_STKL KE BAC LIEU" xfId="1978"/>
    <cellStyle name="_KT (2)_STKL NGACAITRONG" xfId="1979"/>
    <cellStyle name="_KT (2)_TDC CON TIEN" xfId="1980"/>
    <cellStyle name="_KT (2)_TG-TH" xfId="1981"/>
    <cellStyle name="_KT (2)_TG-TH_1" xfId="1982"/>
    <cellStyle name="_KT (2)_th" xfId="1983"/>
    <cellStyle name="_KT (2)_THDT" xfId="1984"/>
    <cellStyle name="_KT (2)_THDT PHUOC LONG PA1(T6)" xfId="1985"/>
    <cellStyle name="_KT (2)_THDT_1" xfId="1986"/>
    <cellStyle name="_KT (2)_thoat nuoc" xfId="1987"/>
    <cellStyle name="_KT (2)_THOAT NUOC_1" xfId="1988"/>
    <cellStyle name="_KT (2)_THONG KE THEP" xfId="1989"/>
    <cellStyle name="_KT (2)_TIEU HOC A PHU HUU-BO SUNG" xfId="1990"/>
    <cellStyle name="_KT (2)_TKHC-THOIQUAN-05-04-2004" xfId="1991"/>
    <cellStyle name="_KT (2)_TKHC-THOIQUAN-05-04-2004_1" xfId="1992"/>
    <cellStyle name="_KT (2)_TMDT 4 GOI" xfId="1993"/>
    <cellStyle name="_KT (2)_TMDT GOI 2 BO BAC (tinh cp lai du phong)" xfId="1994"/>
    <cellStyle name="_KT (2)_TMDT22" xfId="1995"/>
    <cellStyle name="_KT (2)_TMDTPA1" xfId="1996"/>
    <cellStyle name="_KT (2)_TN Kenh Thay  Ban" xfId="1997"/>
    <cellStyle name="_KT (2)_TONG DU TOAN" xfId="1998"/>
    <cellStyle name="_KT (2)_TONG MUC DAU TU DC" xfId="1999"/>
    <cellStyle name="_KT (2)_TRAM Y TE PHUONG CHAU PHU A" xfId="2000"/>
    <cellStyle name="_KT (2)_TRU SO HUYEN UY PHU TAN" xfId="2001"/>
    <cellStyle name="_KT (2)_TRUNG TAM Y TE THOAI SON" xfId="2002"/>
    <cellStyle name="_KT (2)_TRUONG MAU GIAO XA AN BINH" xfId="2003"/>
    <cellStyle name="_KT (2)_TRUONG MAU GIAO XA MY PHU DONG" xfId="2004"/>
    <cellStyle name="_KT (2)_TRUONG MAU GIAO XA VINH CHAU" xfId="2005"/>
    <cellStyle name="_KT (2)_TRUONG THPT NGUYEN KHUYEN" xfId="2006"/>
    <cellStyle name="_KT (2)_TRUONG THPT NGUYEN KHUYEN-LAN 2" xfId="2007"/>
    <cellStyle name="_KT (2)_TRUONG THPT VINH BINH" xfId="2008"/>
    <cellStyle name="_KT (2)_TTXLNT-TTKYT-TONG THE-LAN 3" xfId="2009"/>
    <cellStyle name="_KT (2)_WC-BAC VAM NAO" xfId="2010"/>
    <cellStyle name="_KT (2)_XA GO" xfId="2011"/>
    <cellStyle name="_KT_TG" xfId="2012"/>
    <cellStyle name="_KT_TG_1" xfId="2013"/>
    <cellStyle name="_KT_TG_1_1" xfId="2014"/>
    <cellStyle name="_KT_TG_1_1_1" xfId="2015"/>
    <cellStyle name="_KT_TG_1_2.DT_CONG_MY SON DONG_ DC SAU THAM DINH" xfId="2016"/>
    <cellStyle name="_KT_TG_1_2.DT_CONG_MY SON DONG_ DC SAU THAM DINH_1" xfId="2017"/>
    <cellStyle name="_KT_TG_1_BAO CAO KLCT PT2000" xfId="2018"/>
    <cellStyle name="_KT_TG_1_BAO CAO KLCT PT2000_1" xfId="2019"/>
    <cellStyle name="_KT_TG_1_BAO CAO PT2000" xfId="2020"/>
    <cellStyle name="_KT_TG_1_BAO CAO PT2000_1" xfId="2021"/>
    <cellStyle name="_KT_TG_1_BAO CAO PT2000_Book1" xfId="2022"/>
    <cellStyle name="_KT_TG_1_BAO CAO PT2000_Book1_1" xfId="2023"/>
    <cellStyle name="_KT_TG_1_Bao cao XDCB 2001 - T11 KH dieu chinh 20-11-THAI" xfId="2024"/>
    <cellStyle name="_KT_TG_1_Bao cao XDCB 2001 - T11 KH dieu chinh 20-11-THAI_1" xfId="2025"/>
    <cellStyle name="_KT_TG_1_Book1" xfId="2026"/>
    <cellStyle name="_KT_TG_1_Book1_1" xfId="2027"/>
    <cellStyle name="_KT_TG_1_Book1_1 DTKS Quoi Thien" xfId="2028"/>
    <cellStyle name="_KT_TG_1_Book1_1_1" xfId="2029"/>
    <cellStyle name="_KT_TG_1_Book1_1_1_1" xfId="2030"/>
    <cellStyle name="_KT_TG_1_Book1_1_Book1" xfId="2031"/>
    <cellStyle name="_KT_TG_1_Book1_1_Book1_1" xfId="2032"/>
    <cellStyle name="_KT_TG_1_Book1_1_Book1_Book1" xfId="2033"/>
    <cellStyle name="_KT_TG_1_Book1_1_Book1_dt tham tra nha tram bien ap" xfId="2034"/>
    <cellStyle name="_KT_TG_1_Book1_1_Book1_KHAO SAT TRA VINH" xfId="2035"/>
    <cellStyle name="_KT_TG_1_Book1_1_Can Tho DINH MUC lao dong 20-09-2004" xfId="2036"/>
    <cellStyle name="_KT_TG_1_Book1_1_CDC PHU LAC XA HOA LAC" xfId="2037"/>
    <cellStyle name="_KT_TG_1_Book1_1_congPhuThoAAAAA" xfId="2038"/>
    <cellStyle name="_KT_TG_1_Book1_1_Danglam-CVC-02-2-07-Duong-goi5-Bthuy-MT-TN" xfId="2039"/>
    <cellStyle name="_KT_TG_1_Book1_1_DanhMucDonGiaVTTB_Dien_TAM" xfId="2040"/>
    <cellStyle name="_KT_TG_1_Book1_1_DanhMucDonGiaVTTB_Dien_TAM_1" xfId="2041"/>
    <cellStyle name="_KT_TG_1_Book1_1_du toan Petro" xfId="2042"/>
    <cellStyle name="_KT_TG_1_Book1_1_file TDinh" xfId="2043"/>
    <cellStyle name="_KT_TG_1_Book1_1_GIAVLXD092010_1287366083109" xfId="2044"/>
    <cellStyle name="_KT_TG_1_Book1_1_GuiChudautu-20-02-07-Thamtra-KDC-Mthan-TrNoc" xfId="2045"/>
    <cellStyle name="_KT_TG_1_Book1_1_QD so 957" xfId="2046"/>
    <cellStyle name="_KT_TG_1_Book1_2" xfId="2047"/>
    <cellStyle name="_KT_TG_1_Book1_2.DT_CONG_MY SON DONG_ DC SAU THAM DINH" xfId="2048"/>
    <cellStyle name="_KT_TG_1_Book1_2.DT_CONG_MY SON DONG_ DC SAU THAM DINH_1" xfId="2049"/>
    <cellStyle name="_KT_TG_1_Book1_2_1" xfId="2050"/>
    <cellStyle name="_KT_TG_1_Book1_2_Book1" xfId="2051"/>
    <cellStyle name="_KT_TG_1_Book1_2_Book1_cu xeo chac dc theo Nien" xfId="2052"/>
    <cellStyle name="_KT_TG_1_Book1_2_congPhuThoAAAAA" xfId="2053"/>
    <cellStyle name="_KT_TG_1_Book1_2_cu xeo chac dc theo Nien" xfId="2054"/>
    <cellStyle name="_KT_TG_1_Book1_2_dt tham tra nha tram bien ap" xfId="2055"/>
    <cellStyle name="_KT_TG_1_Book1_2_KHAO SAT TRA VINH" xfId="2056"/>
    <cellStyle name="_KT_TG_1_Book1_2_Thuyet minh cau vuot" xfId="2057"/>
    <cellStyle name="_KT_TG_1_Book1_3" xfId="2058"/>
    <cellStyle name="_KT_TG_1_Book1_3_1" xfId="2059"/>
    <cellStyle name="_KT_TG_1_Book1_3_Book1" xfId="2060"/>
    <cellStyle name="_KT_TG_1_Book1_3_Book1_cu xeo chac dc theo Nien" xfId="2061"/>
    <cellStyle name="_KT_TG_1_Book1_3_cu xeo chac dc theo Nien" xfId="2062"/>
    <cellStyle name="_KT_TG_1_Book1_3_dt tham tra nha tram bien ap" xfId="2063"/>
    <cellStyle name="_KT_TG_1_Book1_3_KHAO SAT TRA VINH" xfId="2064"/>
    <cellStyle name="_KT_TG_1_Book1_3_Thuyet minh cau vuot" xfId="2065"/>
    <cellStyle name="_KT_TG_1_Book1_4" xfId="2066"/>
    <cellStyle name="_KT_TG_1_Book1_4 CHI PHI CAM MOC GPMB" xfId="2067"/>
    <cellStyle name="_KT_TG_1_Book1_4_1" xfId="2068"/>
    <cellStyle name="_KT_TG_1_Book1_5" xfId="2069"/>
    <cellStyle name="_KT_TG_1_Book1_BC-QT-WB-dthao" xfId="2070"/>
    <cellStyle name="_KT_TG_1_Book1_BC-QT-WB-dthao_1" xfId="2071"/>
    <cellStyle name="_KT_TG_1_Book1_BC-QT-WB-dthao_ks-diachaât caàu" xfId="2072"/>
    <cellStyle name="_KT_TG_1_Book1_BC-QT-WB-dthao_ks-diachaât caàu_1" xfId="2073"/>
    <cellStyle name="_KT_TG_1_Book1_Book1" xfId="2074"/>
    <cellStyle name="_KT_TG_1_Book1_Book1_1" xfId="2075"/>
    <cellStyle name="_KT_TG_1_Book1_Book1_1_1" xfId="2076"/>
    <cellStyle name="_KT_TG_1_Book1_Book1_1_1_1" xfId="2077"/>
    <cellStyle name="_KT_TG_1_Book1_Book1_1_Book1" xfId="2078"/>
    <cellStyle name="_KT_TG_1_Book1_Book1_1_dt tham tra nha tram bien ap" xfId="2079"/>
    <cellStyle name="_KT_TG_1_Book1_Book1_1_KHAO SAT TRA VINH" xfId="2080"/>
    <cellStyle name="_KT_TG_1_Book1_Book1_2" xfId="2081"/>
    <cellStyle name="_KT_TG_1_Book1_Book1_2.DT_CONG_MY SON DONG_ DC SAU THAM DINH" xfId="2082"/>
    <cellStyle name="_KT_TG_1_Book1_Book1_2.DT_CONG_MY SON DONG_ DC SAU THAM DINH_1" xfId="2083"/>
    <cellStyle name="_KT_TG_1_Book1_Book1_Book1" xfId="2084"/>
    <cellStyle name="_KT_TG_1_Book1_Book1_Book1_cu xeo chac dc theo Nien" xfId="2085"/>
    <cellStyle name="_KT_TG_1_Book1_Book1_CDC PHU LAC XA HOA LAC" xfId="2086"/>
    <cellStyle name="_KT_TG_1_Book1_Book1_congPhuThoAAAAA" xfId="2087"/>
    <cellStyle name="_KT_TG_1_Book1_Book1_cu xeo chac dc theo Nien" xfId="2088"/>
    <cellStyle name="_KT_TG_1_Book1_Book1_DT - TAN PHU TAY A " xfId="2089"/>
    <cellStyle name="_KT_TG_1_Book1_Book1_DT - TAN PHU TAY A _1" xfId="2090"/>
    <cellStyle name="_KT_TG_1_Book1_Book1_dt tham tra nha tram bien ap" xfId="2091"/>
    <cellStyle name="_KT_TG_1_Book1_Book1_DU TOAN MAU" xfId="2092"/>
    <cellStyle name="_KT_TG_1_Book1_Book1_DU TOAN MAU_1" xfId="2093"/>
    <cellStyle name="_KT_TG_1_Book1_Book1_KHAO SAT TRA VINH" xfId="2094"/>
    <cellStyle name="_KT_TG_1_Book1_Book1_KHOI LUONG DE CUC BO CAI TAC - THANH DIEN" xfId="2095"/>
    <cellStyle name="_KT_TG_1_Book1_Book1_KHOI LUONG DE CUC BO CAI TAC - THANH DIEN_1" xfId="2096"/>
    <cellStyle name="_KT_TG_1_Book1_Book1_SO TOAN KHOI LUONG DE DAI DIEN" xfId="2097"/>
    <cellStyle name="_KT_TG_1_Book1_Book1_SO TOAN KHOI LUONG DE DAI DIEN_1" xfId="2098"/>
    <cellStyle name="_KT_TG_1_Book1_Book1_Thuyet minh cau vuot" xfId="2099"/>
    <cellStyle name="_KT_TG_1_Book1_Book2" xfId="2100"/>
    <cellStyle name="_KT_TG_1_Book1_Book2_1" xfId="2101"/>
    <cellStyle name="_KT_TG_1_Book1_C CHIN TUYEN" xfId="2102"/>
    <cellStyle name="_KT_TG_1_Book1_Can Tho DINH MUC lao dong 20-09-2004" xfId="2103"/>
    <cellStyle name="_KT_TG_1_Book1_CDC PHU LAC XA HOA LAC" xfId="2104"/>
    <cellStyle name="_KT_TG_1_Book1_congPhuThoAAAAA" xfId="2105"/>
    <cellStyle name="_KT_TG_1_Book1_Copy of CAU CHIN TUYEN" xfId="2106"/>
    <cellStyle name="_KT_TG_1_Book1_CUOC VAN CHUYEN" xfId="2107"/>
    <cellStyle name="_KT_TG_1_Book1_Danglam-CVC-02-2-07-Duong-goi5-Bthuy-MT-TN" xfId="2108"/>
    <cellStyle name="_KT_TG_1_Book1_DanhMucDonGiaVTTB_Dien_TAM" xfId="2109"/>
    <cellStyle name="_KT_TG_1_Book1_DanhMucDonGiaVTTB_Dien_TAM_1" xfId="2110"/>
    <cellStyle name="_KT_TG_1_Book1_DT - TAN PHU TAY A " xfId="2111"/>
    <cellStyle name="_KT_TG_1_Book1_DT - TAN PHU TAY A _1" xfId="2112"/>
    <cellStyle name="_KT_TG_1_Book1_DT CCAU SO 2" xfId="2113"/>
    <cellStyle name="_KT_TG_1_Book1_du toan bo sung TK Krong buk" xfId="2114"/>
    <cellStyle name="_KT_TG_1_Book1_Du toan Mau" xfId="2115"/>
    <cellStyle name="_KT_TG_1_Book1_DU TOAN MAU_1" xfId="2116"/>
    <cellStyle name="_KT_TG_1_Book1_du toan Petro" xfId="2117"/>
    <cellStyle name="_KT_TG_1_Book1_file TDinh" xfId="2118"/>
    <cellStyle name="_KT_TG_1_Book1_GIAO thau  TRUONG MN MUOI TAI" xfId="2119"/>
    <cellStyle name="_KT_TG_1_Book1_GIAO thau  TRUONG MN MUOI TAI_1" xfId="2120"/>
    <cellStyle name="_KT_TG_1_Book1_GIAVLXD092010_1287366083109" xfId="2121"/>
    <cellStyle name="_KT_TG_1_Book1_GT21_ CONG TIEU Þ60" xfId="2122"/>
    <cellStyle name="_KT_TG_1_Book1_GuiChudautu-20-02-07-Thamtra-KDC-Mthan-TrNoc" xfId="2123"/>
    <cellStyle name="_KT_TG_1_Book1_GVL10" xfId="2124"/>
    <cellStyle name="_KT_TG_1_Book1_KENH T11-1 R" xfId="2125"/>
    <cellStyle name="_KT_TG_1_Book1_KENH T11-6(MAU_ISO)" xfId="2126"/>
    <cellStyle name="_KT_TG_1_Book1_KHAO SAT" xfId="2127"/>
    <cellStyle name="_KT_TG_1_Book1_KHAO SAT TRA VINH" xfId="2128"/>
    <cellStyle name="_KT_TG_1_Book1_KHOI LUONG DE CUC BO CAI TAC - THANH DIEN" xfId="2129"/>
    <cellStyle name="_KT_TG_1_Book1_KHOI LUONG DE CUC BO CAI TAC - THANH DIEN_1" xfId="2130"/>
    <cellStyle name="_KT_TG_1_Book1_KS - DE BAO SONG CAI OT" xfId="2131"/>
    <cellStyle name="_KT_TG_1_Book1_KS - DE BAO SONG CAI OT_1" xfId="2132"/>
    <cellStyle name="_KT_TG_1_Book1_KS - DE BAOCAI TAT - THANH DIEN" xfId="2133"/>
    <cellStyle name="_KT_TG_1_Book1_KS - DE BAOCAI TAT - THANH DIEN_1" xfId="2134"/>
    <cellStyle name="_KT_TG_1_Book1_KS - DE LAN NAM_CHO LACH" xfId="2135"/>
    <cellStyle name="_KT_TG_1_Book1_KS - DE LAN NAM_CHO LACH_1" xfId="2136"/>
    <cellStyle name="_KT_TG_1_Book1_KS - DE LAN NAM_CHO LACH_AD" xfId="2137"/>
    <cellStyle name="_KT_TG_1_Book1_KS - DE LAN NAM_CHO LACH_AD_1" xfId="2138"/>
    <cellStyle name="_KT_TG_1_Book1_KS - DE VEN SONG HAM LUONG_DAI DIEN " xfId="2139"/>
    <cellStyle name="_KT_TG_1_Book1_KS - DE VEN SONG HAM LUONG_DAI DIEN _1" xfId="2140"/>
    <cellStyle name="_KT_TG_1_Book1_mauBCC" xfId="2141"/>
    <cellStyle name="_KT_TG_1_Book1_QD so 957" xfId="2142"/>
    <cellStyle name="_KT_TG_1_Book1_SO TOAN KHOI LUONG DE DAI DIEN" xfId="2143"/>
    <cellStyle name="_KT_TG_1_Book1_SO TOAN KHOI LUONG DE DAI DIEN_1" xfId="2144"/>
    <cellStyle name="_KT_TG_1_Book1_th" xfId="2145"/>
    <cellStyle name="_KT_TG_1_Book1_THDT" xfId="2146"/>
    <cellStyle name="_KT_TG_1_Book1_THDTGOI 21" xfId="2147"/>
    <cellStyle name="_KT_TG_1_Book1_THONG KE THEP" xfId="2148"/>
    <cellStyle name="_KT_TG_1_Book1_TIEU HOC A MY LUONG KHOI 2" xfId="2149"/>
    <cellStyle name="_KT_TG_1_Book1_TKHC-THOIQUAN-05-04-2004" xfId="2150"/>
    <cellStyle name="_KT_TG_1_Book1_TKHC-THOIQUAN-05-04-2004_1" xfId="2151"/>
    <cellStyle name="_KT_TG_1_Book1_TONG DU TOAN VINH LONG-PA1" xfId="2152"/>
    <cellStyle name="_KT_TG_1_Book1_TTXLNT-TTKYT-TONG THE" xfId="2153"/>
    <cellStyle name="_KT_TG_1_Book1_XL4Poppy" xfId="2154"/>
    <cellStyle name="_KT_TG_1_Book1_XL4Poppy_1" xfId="2155"/>
    <cellStyle name="_KT_TG_1_Book1_XL4Poppy_ks-diachaât caàu" xfId="2156"/>
    <cellStyle name="_KT_TG_1_Book1_XL4Poppy_ks-diachaât caàu_1" xfId="2157"/>
    <cellStyle name="_KT_TG_1_Book1_XL4Test5" xfId="2158"/>
    <cellStyle name="_KT_TG_1_Book1_XL4Test5_1" xfId="2159"/>
    <cellStyle name="_KT_TG_1_Book1_XL4Test5_ks-diachaât caàu" xfId="2160"/>
    <cellStyle name="_KT_TG_1_Book1_XL4Test5_ks-diachaât caàu_1" xfId="2161"/>
    <cellStyle name="_KT_TG_1_Book2" xfId="2162"/>
    <cellStyle name="_KT_TG_1_Book2_1" xfId="2163"/>
    <cellStyle name="_KT_TG_1_C CHIN TUYEN" xfId="2164"/>
    <cellStyle name="_KT_TG_1_Can Tho DINH MUC lao dong 20-09-2004" xfId="2165"/>
    <cellStyle name="_KT_TG_1_CDC PHU LAC XA HOA LAC" xfId="2166"/>
    <cellStyle name="_KT_TG_1_CONG 1.5.xls" xfId="2167"/>
    <cellStyle name="_KT_TG_1_Cong K2+190" xfId="2168"/>
    <cellStyle name="_KT_TG_1_Cong K2+190 ( cuoi )" xfId="2169"/>
    <cellStyle name="_KT_TG_1_CONG KENH 12" xfId="2170"/>
    <cellStyle name="_KT_TG_1_Copy of CAU CHIN TUYEN" xfId="2171"/>
    <cellStyle name="_KT_TG_1_Danglam-CVC-02-2-07-Duong-goi5-Bthuy-MT-TN" xfId="2172"/>
    <cellStyle name="_KT_TG_1_Dcdtoan-bcnckt " xfId="2173"/>
    <cellStyle name="_KT_TG_1_Dcdtoan-bcnckt _1" xfId="2174"/>
    <cellStyle name="_KT_TG_1_Dcdtoan-bcnckt _XL4Poppy" xfId="2175"/>
    <cellStyle name="_KT_TG_1_Dcdtoan-bcnckt _XL4Poppy_1" xfId="2176"/>
    <cellStyle name="_KT_TG_1_Dcdtoan-bcnckt _XL4Test5" xfId="2177"/>
    <cellStyle name="_KT_TG_1_Dcdtoan-bcnckt _XL4Test5_1" xfId="2178"/>
    <cellStyle name="_KT_TG_1_Dongia2-2003" xfId="2179"/>
    <cellStyle name="_KT_TG_1_Dongia2-2003_1" xfId="2180"/>
    <cellStyle name="_KT_TG_1_DT - TAN PHU TAY A " xfId="2181"/>
    <cellStyle name="_KT_TG_1_DT - TAN PHU TAY A _1" xfId="2182"/>
    <cellStyle name="_KT_TG_1_DT CCAU SO 2" xfId="2183"/>
    <cellStyle name="_KT_TG_1_DT Cong 2PHI 100 BONAM KENH XA NU" xfId="2184"/>
    <cellStyle name="_KT_TG_1_DT CONG BA CHUA (-1.5)" xfId="2185"/>
    <cellStyle name="_KT_TG_1_dt tham tra nha tram bien ap" xfId="2186"/>
    <cellStyle name="_KT_TG_1_DTCDT MR.2N110.HOCMON.TDTOAN.CCUNG" xfId="2187"/>
    <cellStyle name="_KT_TG_1_DTCDT MR.2N110.HOCMON.TDTOAN.CCUNG_1" xfId="2188"/>
    <cellStyle name="_KT_TG_1_Du phong Cong Tha La" xfId="2189"/>
    <cellStyle name="_KT_TG_1_Du toan Mau" xfId="2190"/>
    <cellStyle name="_KT_TG_1_DU TOAN MAU_1" xfId="2191"/>
    <cellStyle name="_KT_TG_1_du toan Petro" xfId="2192"/>
    <cellStyle name="_KT_TG_1_file TDinh" xfId="2193"/>
    <cellStyle name="_KT_TG_1_Giai Doan 3 Hong Ngu" xfId="2194"/>
    <cellStyle name="_KT_TG_1_Giai Doan 3 Hong Ngu_1" xfId="2195"/>
    <cellStyle name="_KT_TG_1_GIAVLXD092010_1287366083109" xfId="2196"/>
    <cellStyle name="_KT_TG_1_GT21_ CONG TIEU Þ60" xfId="2197"/>
    <cellStyle name="_KT_TG_1_GuiChudautu-20-02-07-Thamtra-KDC-Mthan-TrNoc" xfId="2198"/>
    <cellStyle name="_KT_TG_1_GVL4" xfId="2199"/>
    <cellStyle name="_KT_TG_1_GVL4_1" xfId="2200"/>
    <cellStyle name="_KT_TG_1_GVLmoi" xfId="2201"/>
    <cellStyle name="_KT_TG_1_k2+700" xfId="2202"/>
    <cellStyle name="_KT_TG_1_KE LUONG THUC" xfId="2203"/>
    <cellStyle name="_KT_TG_1_KE LUONG THUC111" xfId="2204"/>
    <cellStyle name="_KT_TG_1_Ke met wa" xfId="2205"/>
    <cellStyle name="_KT_TG_1_KE THA LA" xfId="2206"/>
    <cellStyle name="_KT_TG_1_KHAO SAT" xfId="2207"/>
    <cellStyle name="_KT_TG_1_khao sat Du an" xfId="2208"/>
    <cellStyle name="_KT_TG_1_KHAO SAT TRA VINH" xfId="2209"/>
    <cellStyle name="_KT_TG_1_KHIN PHI KENH T6" xfId="2210"/>
    <cellStyle name="_KT_TG_1_KHOI LUONG DE CUC BO CAI TAC - THANH DIEN" xfId="2211"/>
    <cellStyle name="_KT_TG_1_KHOI LUONG DE CUC BO CAI TAC - THANH DIEN_1" xfId="2212"/>
    <cellStyle name="_KT_TG_1_KLKS TK-8 cong kenh hau" xfId="2213"/>
    <cellStyle name="_KT_TG_1_KS - DE BAO SONG CAI OT" xfId="2214"/>
    <cellStyle name="_KT_TG_1_KS - DE BAO SONG CAI OT_1" xfId="2215"/>
    <cellStyle name="_KT_TG_1_KS - DE BAOCAI TAT - THANH DIEN" xfId="2216"/>
    <cellStyle name="_KT_TG_1_KS - DE BAOCAI TAT - THANH DIEN_1" xfId="2217"/>
    <cellStyle name="_KT_TG_1_KS - DE LAN NAM_CHO LACH" xfId="2218"/>
    <cellStyle name="_KT_TG_1_KS - DE LAN NAM_CHO LACH_1" xfId="2219"/>
    <cellStyle name="_KT_TG_1_KS - DE LAN NAM_CHO LACH_AD" xfId="2220"/>
    <cellStyle name="_KT_TG_1_KS - DE LAN NAM_CHO LACH_AD_1" xfId="2221"/>
    <cellStyle name="_KT_TG_1_KS - DE VEN SONG HAM LUONG_DAI DIEN " xfId="2222"/>
    <cellStyle name="_KT_TG_1_KS - DE VEN SONG HAM LUONG_DAI DIEN _1" xfId="2223"/>
    <cellStyle name="_KT_TG_1_Lora-tungchau" xfId="2224"/>
    <cellStyle name="_KT_TG_1_Lora-tungchau_1" xfId="2225"/>
    <cellStyle name="_KT_TG_1_mauBCC" xfId="2226"/>
    <cellStyle name="_KT_TG_1_moi" xfId="2227"/>
    <cellStyle name="_KT_TG_1_moi_1" xfId="2228"/>
    <cellStyle name="_KT_TG_1_moi_XL4Poppy" xfId="2229"/>
    <cellStyle name="_KT_TG_1_moi_XL4Poppy_1" xfId="2230"/>
    <cellStyle name="_KT_TG_1_moi_XL4Test5" xfId="2231"/>
    <cellStyle name="_KT_TG_1_moi_XL4Test5_1" xfId="2232"/>
    <cellStyle name="_KT_TG_1_PGIA-phieu tham tra Kho bac" xfId="2233"/>
    <cellStyle name="_KT_TG_1_PGIA-phieu tham tra Kho bac_1" xfId="2234"/>
    <cellStyle name="_KT_TG_1_PT02-02" xfId="2235"/>
    <cellStyle name="_KT_TG_1_PT02-02_1" xfId="2236"/>
    <cellStyle name="_KT_TG_1_PT02-02_Book1" xfId="2237"/>
    <cellStyle name="_KT_TG_1_PT02-02_Book1_1" xfId="2238"/>
    <cellStyle name="_KT_TG_1_PT02-03" xfId="2239"/>
    <cellStyle name="_KT_TG_1_PT02-03_1" xfId="2240"/>
    <cellStyle name="_KT_TG_1_PT02-03_Book1" xfId="2241"/>
    <cellStyle name="_KT_TG_1_PT02-03_Book1_1" xfId="2242"/>
    <cellStyle name="_KT_TG_1_QD so 957" xfId="2243"/>
    <cellStyle name="_KT_TG_1_QT TINH UNG 2002" xfId="2244"/>
    <cellStyle name="_KT_TG_1_Qt-HT3PQ1(CauKho)" xfId="2245"/>
    <cellStyle name="_KT_TG_1_Qt-HT3PQ1(CauKho)_1" xfId="2246"/>
    <cellStyle name="_KT_TG_1_Qt-HT3PQ1(CauKho)_Don gia quy 3 nam 2003 - Ban Dien Luc" xfId="2247"/>
    <cellStyle name="_KT_TG_1_Qt-HT3PQ1(CauKho)_Don gia quy 3 nam 2003 - Ban Dien Luc_1" xfId="2248"/>
    <cellStyle name="_KT_TG_1_Qt-HT3PQ1(CauKho)_ks-diachaât caàu" xfId="2249"/>
    <cellStyle name="_KT_TG_1_Qt-HT3PQ1(CauKho)_ks-diachaât caàu_1" xfId="2250"/>
    <cellStyle name="_KT_TG_1_Qt-HT3PQ1(CauKho)_NC-VL2-2003" xfId="2251"/>
    <cellStyle name="_KT_TG_1_Qt-HT3PQ1(CauKho)_NC-VL2-2003_1" xfId="2252"/>
    <cellStyle name="_KT_TG_1_Qt-HT3PQ1(CauKho)_NC-VL2-2003_1_1" xfId="2253"/>
    <cellStyle name="_KT_TG_1_Qt-HT3PQ1(CauKho)_NC-VL2-2003_1_1_1" xfId="2254"/>
    <cellStyle name="_KT_TG_1_Qt-HT3PQ1(CauKho)_XL4Test5" xfId="2255"/>
    <cellStyle name="_KT_TG_1_Qt-HT3PQ1(CauKho)_XL4Test5_1" xfId="2256"/>
    <cellStyle name="_KT_TG_1_Qt-HT3PQ1(CauKho)_XL4Test5_1_1" xfId="2257"/>
    <cellStyle name="_KT_TG_1_Qt-HT3PQ1(CauKho)_XL4Test5_1_1_1" xfId="2258"/>
    <cellStyle name="_KT_TG_1_Sheet2" xfId="2259"/>
    <cellStyle name="_KT_TG_1_Sheet2_1" xfId="2260"/>
    <cellStyle name="_KT_TG_1_SO TOAN KHOI LUONG DE DAI DIEN" xfId="2261"/>
    <cellStyle name="_KT_TG_1_SO TOAN KHOI LUONG DE DAI DIEN_1" xfId="2262"/>
    <cellStyle name="_KT_TG_1_STKL KE BAC LIEU" xfId="2263"/>
    <cellStyle name="_KT_TG_1_STKL NGACAITRONG" xfId="2264"/>
    <cellStyle name="_KT_TG_1_th" xfId="2265"/>
    <cellStyle name="_KT_TG_1_THDT" xfId="2266"/>
    <cellStyle name="_KT_TG_1_THDT PHUOC LONG PA1(T6)" xfId="2267"/>
    <cellStyle name="_KT_TG_1_THDT_1" xfId="2268"/>
    <cellStyle name="_KT_TG_1_THONG KE THEP" xfId="2269"/>
    <cellStyle name="_KT_TG_1_TKHC-THOIQUAN-05-04-2004" xfId="2270"/>
    <cellStyle name="_KT_TG_1_TKHC-THOIQUAN-05-04-2004_1" xfId="2271"/>
    <cellStyle name="_KT_TG_1_TMDT 4 GOI" xfId="2272"/>
    <cellStyle name="_KT_TG_1_TMDT GOI 2 BO BAC (tinh cp lai du phong)" xfId="2273"/>
    <cellStyle name="_KT_TG_1_TMDT22" xfId="2274"/>
    <cellStyle name="_KT_TG_1_TMDTPA1" xfId="2275"/>
    <cellStyle name="_KT_TG_1_TONG DU TOAN" xfId="2276"/>
    <cellStyle name="_KT_TG_1_TONG MUC DAU TU DC" xfId="2277"/>
    <cellStyle name="_KT_TG_1_XL4Poppy" xfId="2278"/>
    <cellStyle name="_KT_TG_1_XL4Poppy_1" xfId="2279"/>
    <cellStyle name="_KT_TG_1_XL4Poppy_XL4Test5" xfId="2280"/>
    <cellStyle name="_KT_TG_1_XL4Poppy_XL4Test5_1" xfId="2281"/>
    <cellStyle name="_KT_TG_1_XL4Test5" xfId="2282"/>
    <cellStyle name="_KT_TG_1_XL4Test5_1" xfId="2283"/>
    <cellStyle name="_KT_TG_2" xfId="2284"/>
    <cellStyle name="_KT_TG_2.DT_CONG_MY SON DONG_ DC SAU THAM DINH" xfId="2285"/>
    <cellStyle name="_KT_TG_2.DT_CONG_MY SON DONG_ DC SAU THAM DINH_1" xfId="2286"/>
    <cellStyle name="_KT_TG_2_1" xfId="2287"/>
    <cellStyle name="_KT_TG_2_2.DT_CONG_MY SON DONG_ DC SAU THAM DINH" xfId="2288"/>
    <cellStyle name="_KT_TG_2_2.DT_CONG_MY SON DONG_ DC SAU THAM DINH_1" xfId="2289"/>
    <cellStyle name="_KT_TG_2_BAO CAO KLCT PT2000" xfId="2290"/>
    <cellStyle name="_KT_TG_2_BAO CAO KLCT PT2000_1" xfId="2291"/>
    <cellStyle name="_KT_TG_2_BAO CAO PT2000" xfId="2292"/>
    <cellStyle name="_KT_TG_2_BAO CAO PT2000_1" xfId="2293"/>
    <cellStyle name="_KT_TG_2_BAO CAO PT2000_Book1" xfId="2294"/>
    <cellStyle name="_KT_TG_2_BAO CAO PT2000_Book1_1" xfId="2295"/>
    <cellStyle name="_KT_TG_2_BAO CAO PT2000_Book1_ks-diachaât caàu" xfId="2296"/>
    <cellStyle name="_KT_TG_2_BAO CAO PT2000_Book1_ks-diachaât caàu_1" xfId="2297"/>
    <cellStyle name="_KT_TG_2_Bao cao XDCB 2001 - T11 KH dieu chinh 20-11-THAI" xfId="2298"/>
    <cellStyle name="_KT_TG_2_Bao cao XDCB 2001 - T11 KH dieu chinh 20-11-THAI_1" xfId="2299"/>
    <cellStyle name="_KT_TG_2_Book1" xfId="2300"/>
    <cellStyle name="_KT_TG_2_Book1_1" xfId="2301"/>
    <cellStyle name="_KT_TG_2_Book1_1 DTKS Quoi Thien" xfId="2302"/>
    <cellStyle name="_KT_TG_2_Book1_1_1" xfId="2303"/>
    <cellStyle name="_KT_TG_2_Book1_1_1_1" xfId="2304"/>
    <cellStyle name="_KT_TG_2_Book1_1_Book1" xfId="2305"/>
    <cellStyle name="_KT_TG_2_Book1_1_Book1_1" xfId="2306"/>
    <cellStyle name="_KT_TG_2_Book1_1_Book1_Book1" xfId="2307"/>
    <cellStyle name="_KT_TG_2_Book1_1_Book1_dt tham tra nha tram bien ap" xfId="2308"/>
    <cellStyle name="_KT_TG_2_Book1_1_Book1_KHAO SAT TRA VINH" xfId="2309"/>
    <cellStyle name="_KT_TG_2_Book1_1_Can Tho DINH MUC lao dong 20-09-2004" xfId="2310"/>
    <cellStyle name="_KT_TG_2_Book1_1_CDC PHU LAC XA HOA LAC" xfId="2311"/>
    <cellStyle name="_KT_TG_2_Book1_1_congPhuThoAAAAA" xfId="2312"/>
    <cellStyle name="_KT_TG_2_Book1_1_Danglam-CVC-02-2-07-Duong-goi5-Bthuy-MT-TN" xfId="2313"/>
    <cellStyle name="_KT_TG_2_Book1_1_DanhMucDonGiaVTTB_Dien_TAM" xfId="2314"/>
    <cellStyle name="_KT_TG_2_Book1_1_DanhMucDonGiaVTTB_Dien_TAM_1" xfId="2315"/>
    <cellStyle name="_KT_TG_2_Book1_1_du toan Petro" xfId="2316"/>
    <cellStyle name="_KT_TG_2_Book1_1_file TDinh" xfId="2317"/>
    <cellStyle name="_KT_TG_2_Book1_1_GIAVLXD092010_1287366083109" xfId="2318"/>
    <cellStyle name="_KT_TG_2_Book1_1_GuiChudautu-20-02-07-Thamtra-KDC-Mthan-TrNoc" xfId="2319"/>
    <cellStyle name="_KT_TG_2_Book1_1_QD so 957" xfId="2320"/>
    <cellStyle name="_KT_TG_2_Book1_2" xfId="2321"/>
    <cellStyle name="_KT_TG_2_Book1_2.DT_CONG_MY SON DONG_ DC SAU THAM DINH" xfId="2322"/>
    <cellStyle name="_KT_TG_2_Book1_2.DT_CONG_MY SON DONG_ DC SAU THAM DINH_1" xfId="2323"/>
    <cellStyle name="_KT_TG_2_Book1_2_1" xfId="2324"/>
    <cellStyle name="_KT_TG_2_Book1_2_Book1" xfId="2325"/>
    <cellStyle name="_KT_TG_2_Book1_2_Book1_cu xeo chac dc theo Nien" xfId="2326"/>
    <cellStyle name="_KT_TG_2_Book1_2_congPhuThoAAAAA" xfId="2327"/>
    <cellStyle name="_KT_TG_2_Book1_2_cu xeo chac dc theo Nien" xfId="2328"/>
    <cellStyle name="_KT_TG_2_Book1_2_dt tham tra nha tram bien ap" xfId="2329"/>
    <cellStyle name="_KT_TG_2_Book1_2_KHAO SAT TRA VINH" xfId="2330"/>
    <cellStyle name="_KT_TG_2_Book1_2_Thuyet minh cau vuot" xfId="2331"/>
    <cellStyle name="_KT_TG_2_Book1_3" xfId="2332"/>
    <cellStyle name="_KT_TG_2_Book1_3_1" xfId="2333"/>
    <cellStyle name="_KT_TG_2_Book1_3_Book1" xfId="2334"/>
    <cellStyle name="_KT_TG_2_Book1_3_Book1_cu xeo chac dc theo Nien" xfId="2335"/>
    <cellStyle name="_KT_TG_2_Book1_3_cu xeo chac dc theo Nien" xfId="2336"/>
    <cellStyle name="_KT_TG_2_Book1_3_dt tham tra nha tram bien ap" xfId="2337"/>
    <cellStyle name="_KT_TG_2_Book1_3_KHAO SAT TRA VINH" xfId="2338"/>
    <cellStyle name="_KT_TG_2_Book1_3_Thuyet minh cau vuot" xfId="2339"/>
    <cellStyle name="_KT_TG_2_Book1_4" xfId="2340"/>
    <cellStyle name="_KT_TG_2_Book1_4 CHI PHI CAM MOC GPMB" xfId="2341"/>
    <cellStyle name="_KT_TG_2_Book1_4_1" xfId="2342"/>
    <cellStyle name="_KT_TG_2_Book1_5" xfId="2343"/>
    <cellStyle name="_KT_TG_2_Book1_Book1" xfId="2344"/>
    <cellStyle name="_KT_TG_2_Book1_Book1_1" xfId="2345"/>
    <cellStyle name="_KT_TG_2_Book1_Book1_1_1" xfId="2346"/>
    <cellStyle name="_KT_TG_2_Book1_Book1_1_1_1" xfId="2347"/>
    <cellStyle name="_KT_TG_2_Book1_Book1_1_Book1" xfId="2348"/>
    <cellStyle name="_KT_TG_2_Book1_Book1_1_dt tham tra nha tram bien ap" xfId="2349"/>
    <cellStyle name="_KT_TG_2_Book1_Book1_1_KHAO SAT TRA VINH" xfId="2350"/>
    <cellStyle name="_KT_TG_2_Book1_Book1_2" xfId="2351"/>
    <cellStyle name="_KT_TG_2_Book1_Book1_2.DT_CONG_MY SON DONG_ DC SAU THAM DINH" xfId="2352"/>
    <cellStyle name="_KT_TG_2_Book1_Book1_2.DT_CONG_MY SON DONG_ DC SAU THAM DINH_1" xfId="2353"/>
    <cellStyle name="_KT_TG_2_Book1_Book1_Book1" xfId="2354"/>
    <cellStyle name="_KT_TG_2_Book1_Book1_Book1_cu xeo chac dc theo Nien" xfId="2355"/>
    <cellStyle name="_KT_TG_2_Book1_Book1_CDC PHU LAC XA HOA LAC" xfId="2356"/>
    <cellStyle name="_KT_TG_2_Book1_Book1_congPhuThoAAAAA" xfId="2357"/>
    <cellStyle name="_KT_TG_2_Book1_Book1_cu xeo chac dc theo Nien" xfId="2358"/>
    <cellStyle name="_KT_TG_2_Book1_Book1_DT - TAN PHU TAY A " xfId="2359"/>
    <cellStyle name="_KT_TG_2_Book1_Book1_DT - TAN PHU TAY A _1" xfId="2360"/>
    <cellStyle name="_KT_TG_2_Book1_Book1_dt tham tra nha tram bien ap" xfId="2361"/>
    <cellStyle name="_KT_TG_2_Book1_Book1_DU TOAN MAU" xfId="2362"/>
    <cellStyle name="_KT_TG_2_Book1_Book1_DU TOAN MAU_1" xfId="2363"/>
    <cellStyle name="_KT_TG_2_Book1_Book1_KHAO SAT TRA VINH" xfId="2364"/>
    <cellStyle name="_KT_TG_2_Book1_Book1_KHOI LUONG DE CUC BO CAI TAC - THANH DIEN" xfId="2365"/>
    <cellStyle name="_KT_TG_2_Book1_Book1_KHOI LUONG DE CUC BO CAI TAC - THANH DIEN_1" xfId="2366"/>
    <cellStyle name="_KT_TG_2_Book1_Book1_SO TOAN KHOI LUONG DE DAI DIEN" xfId="2367"/>
    <cellStyle name="_KT_TG_2_Book1_Book1_SO TOAN KHOI LUONG DE DAI DIEN_1" xfId="2368"/>
    <cellStyle name="_KT_TG_2_Book1_Book1_Thuyet minh cau vuot" xfId="2369"/>
    <cellStyle name="_KT_TG_2_Book1_Book2" xfId="2370"/>
    <cellStyle name="_KT_TG_2_Book1_Book2_1" xfId="2371"/>
    <cellStyle name="_KT_TG_2_Book1_C CHIN TUYEN" xfId="2372"/>
    <cellStyle name="_KT_TG_2_Book1_Can Tho DINH MUC lao dong 20-09-2004" xfId="2373"/>
    <cellStyle name="_KT_TG_2_Book1_CDC PHU LAC XA HOA LAC" xfId="2374"/>
    <cellStyle name="_KT_TG_2_Book1_congPhuThoAAAAA" xfId="2375"/>
    <cellStyle name="_KT_TG_2_Book1_Copy of CAU CHIN TUYEN" xfId="2376"/>
    <cellStyle name="_KT_TG_2_Book1_CUOC VAN CHUYEN" xfId="2377"/>
    <cellStyle name="_KT_TG_2_Book1_Danglam-CVC-02-2-07-Duong-goi5-Bthuy-MT-TN" xfId="2378"/>
    <cellStyle name="_KT_TG_2_Book1_DanhMucDonGiaVTTB_Dien_TAM" xfId="2379"/>
    <cellStyle name="_KT_TG_2_Book1_DanhMucDonGiaVTTB_Dien_TAM_1" xfId="2380"/>
    <cellStyle name="_KT_TG_2_Book1_DT - TAN PHU TAY A " xfId="2381"/>
    <cellStyle name="_KT_TG_2_Book1_DT - TAN PHU TAY A _1" xfId="2382"/>
    <cellStyle name="_KT_TG_2_Book1_DT CCAU SO 2" xfId="2383"/>
    <cellStyle name="_KT_TG_2_Book1_du toan bo sung TK Krong buk" xfId="2384"/>
    <cellStyle name="_KT_TG_2_Book1_Du toan Mau" xfId="2385"/>
    <cellStyle name="_KT_TG_2_Book1_DU TOAN MAU_1" xfId="2386"/>
    <cellStyle name="_KT_TG_2_Book1_du toan Petro" xfId="2387"/>
    <cellStyle name="_KT_TG_2_Book1_file TDinh" xfId="2388"/>
    <cellStyle name="_KT_TG_2_Book1_GIAO thau  TRUONG MN MUOI TAI" xfId="2389"/>
    <cellStyle name="_KT_TG_2_Book1_GIAO thau  TRUONG MN MUOI TAI_1" xfId="2390"/>
    <cellStyle name="_KT_TG_2_Book1_GIAVLXD092010_1287366083109" xfId="2391"/>
    <cellStyle name="_KT_TG_2_Book1_GT21_ CONG TIEU Þ60" xfId="2392"/>
    <cellStyle name="_KT_TG_2_Book1_GuiChudautu-20-02-07-Thamtra-KDC-Mthan-TrNoc" xfId="2393"/>
    <cellStyle name="_KT_TG_2_Book1_GVL10" xfId="2394"/>
    <cellStyle name="_KT_TG_2_Book1_KENH T11-1 R" xfId="2395"/>
    <cellStyle name="_KT_TG_2_Book1_KENH T11-6(MAU_ISO)" xfId="2396"/>
    <cellStyle name="_KT_TG_2_Book1_KHAO SAT" xfId="2397"/>
    <cellStyle name="_KT_TG_2_Book1_KHAO SAT TRA VINH" xfId="2398"/>
    <cellStyle name="_KT_TG_2_Book1_KHOI LUONG DE CUC BO CAI TAC - THANH DIEN" xfId="2399"/>
    <cellStyle name="_KT_TG_2_Book1_KHOI LUONG DE CUC BO CAI TAC - THANH DIEN_1" xfId="2400"/>
    <cellStyle name="_KT_TG_2_Book1_KS - DE BAO SONG CAI OT" xfId="2401"/>
    <cellStyle name="_KT_TG_2_Book1_KS - DE BAO SONG CAI OT_1" xfId="2402"/>
    <cellStyle name="_KT_TG_2_Book1_KS - DE BAOCAI TAT - THANH DIEN" xfId="2403"/>
    <cellStyle name="_KT_TG_2_Book1_KS - DE BAOCAI TAT - THANH DIEN_1" xfId="2404"/>
    <cellStyle name="_KT_TG_2_Book1_KS - DE LAN NAM_CHO LACH" xfId="2405"/>
    <cellStyle name="_KT_TG_2_Book1_KS - DE LAN NAM_CHO LACH_1" xfId="2406"/>
    <cellStyle name="_KT_TG_2_Book1_KS - DE LAN NAM_CHO LACH_AD" xfId="2407"/>
    <cellStyle name="_KT_TG_2_Book1_KS - DE LAN NAM_CHO LACH_AD_1" xfId="2408"/>
    <cellStyle name="_KT_TG_2_Book1_KS - DE VEN SONG HAM LUONG_DAI DIEN " xfId="2409"/>
    <cellStyle name="_KT_TG_2_Book1_KS - DE VEN SONG HAM LUONG_DAI DIEN _1" xfId="2410"/>
    <cellStyle name="_KT_TG_2_Book1_mauBCC" xfId="2411"/>
    <cellStyle name="_KT_TG_2_Book1_QD so 957" xfId="2412"/>
    <cellStyle name="_KT_TG_2_Book1_SO TOAN KHOI LUONG DE DAI DIEN" xfId="2413"/>
    <cellStyle name="_KT_TG_2_Book1_SO TOAN KHOI LUONG DE DAI DIEN_1" xfId="2414"/>
    <cellStyle name="_KT_TG_2_Book1_th" xfId="2415"/>
    <cellStyle name="_KT_TG_2_Book1_THDT" xfId="2416"/>
    <cellStyle name="_KT_TG_2_Book1_THDTGOI 21" xfId="2417"/>
    <cellStyle name="_KT_TG_2_Book1_THONG KE THEP" xfId="2418"/>
    <cellStyle name="_KT_TG_2_Book1_TIEU HOC A MY LUONG KHOI 2" xfId="2419"/>
    <cellStyle name="_KT_TG_2_Book1_TKHC-THOIQUAN-05-04-2004" xfId="2420"/>
    <cellStyle name="_KT_TG_2_Book1_TKHC-THOIQUAN-05-04-2004_1" xfId="2421"/>
    <cellStyle name="_KT_TG_2_Book1_TONG DU TOAN VINH LONG-PA1" xfId="2422"/>
    <cellStyle name="_KT_TG_2_Book1_TTXLNT-TTKYT-TONG THE" xfId="2423"/>
    <cellStyle name="_KT_TG_2_Book1_XL4Poppy" xfId="2424"/>
    <cellStyle name="_KT_TG_2_Book1_XL4Poppy_1" xfId="2425"/>
    <cellStyle name="_KT_TG_2_Book1_XL4Test5" xfId="2426"/>
    <cellStyle name="_KT_TG_2_Book1_XL4Test5_1" xfId="2427"/>
    <cellStyle name="_KT_TG_2_Book2" xfId="2428"/>
    <cellStyle name="_KT_TG_2_Book2_1" xfId="2429"/>
    <cellStyle name="_KT_TG_2_C CHIN TUYEN" xfId="2430"/>
    <cellStyle name="_KT_TG_2_Can Tho DINH MUC lao dong 20-09-2004" xfId="2431"/>
    <cellStyle name="_KT_TG_2_CDC PHU LAC XA HOA LAC" xfId="2432"/>
    <cellStyle name="_KT_TG_2_CONG 1.5.xls" xfId="2433"/>
    <cellStyle name="_KT_TG_2_Cong K2+190" xfId="2434"/>
    <cellStyle name="_KT_TG_2_Cong K2+190 ( cuoi )" xfId="2435"/>
    <cellStyle name="_KT_TG_2_CONG KENH 12" xfId="2436"/>
    <cellStyle name="_KT_TG_2_Copy of CAU CHIN TUYEN" xfId="2437"/>
    <cellStyle name="_KT_TG_2_Danglam-CVC-02-2-07-Duong-goi5-Bthuy-MT-TN" xfId="2438"/>
    <cellStyle name="_KT_TG_2_Dcdtoan-bcnckt " xfId="2439"/>
    <cellStyle name="_KT_TG_2_Dcdtoan-bcnckt _1" xfId="2440"/>
    <cellStyle name="_KT_TG_2_Dcdtoan-bcnckt _XL4Poppy" xfId="2441"/>
    <cellStyle name="_KT_TG_2_Dcdtoan-bcnckt _XL4Poppy_1" xfId="2442"/>
    <cellStyle name="_KT_TG_2_Dcdtoan-bcnckt _XL4Test5" xfId="2443"/>
    <cellStyle name="_KT_TG_2_Dcdtoan-bcnckt _XL4Test5_1" xfId="2444"/>
    <cellStyle name="_KT_TG_2_Dongia2-2003" xfId="2445"/>
    <cellStyle name="_KT_TG_2_Dongia2-2003_1" xfId="2446"/>
    <cellStyle name="_KT_TG_2_DT - TAN PHU TAY A " xfId="2447"/>
    <cellStyle name="_KT_TG_2_DT - TAN PHU TAY A _1" xfId="2448"/>
    <cellStyle name="_KT_TG_2_DT CCAU SO 2" xfId="2449"/>
    <cellStyle name="_KT_TG_2_DT Cong 2PHI 100 BONAM KENH XA NU" xfId="2450"/>
    <cellStyle name="_KT_TG_2_DT CONG BA CHUA (-1.5)" xfId="2451"/>
    <cellStyle name="_KT_TG_2_dt tham tra nha tram bien ap" xfId="2452"/>
    <cellStyle name="_KT_TG_2_DTCDT MR.2N110.HOCMON.TDTOAN.CCUNG" xfId="2453"/>
    <cellStyle name="_KT_TG_2_DTCDT MR.2N110.HOCMON.TDTOAN.CCUNG_1" xfId="2454"/>
    <cellStyle name="_KT_TG_2_DTCDT MR.2N110.HOCMON.TDTOAN.CCUNG_ks-diachaât caàu" xfId="2455"/>
    <cellStyle name="_KT_TG_2_DTCDT MR.2N110.HOCMON.TDTOAN.CCUNG_ks-diachaât caàu_1" xfId="2456"/>
    <cellStyle name="_KT_TG_2_Du phong Cong Tha La" xfId="2457"/>
    <cellStyle name="_KT_TG_2_Du toan Mau" xfId="2458"/>
    <cellStyle name="_KT_TG_2_DU TOAN MAU_1" xfId="2459"/>
    <cellStyle name="_KT_TG_2_du toan Petro" xfId="2460"/>
    <cellStyle name="_KT_TG_2_file TDinh" xfId="2461"/>
    <cellStyle name="_KT_TG_2_Giai Doan 3 Hong Ngu" xfId="2462"/>
    <cellStyle name="_KT_TG_2_Giai Doan 3 Hong Ngu_1" xfId="2463"/>
    <cellStyle name="_KT_TG_2_GIAVLXD092010_1287366083109" xfId="2464"/>
    <cellStyle name="_KT_TG_2_GT21_ CONG TIEU Þ60" xfId="2465"/>
    <cellStyle name="_KT_TG_2_GuiChudautu-20-02-07-Thamtra-KDC-Mthan-TrNoc" xfId="2466"/>
    <cellStyle name="_KT_TG_2_GVL4" xfId="2467"/>
    <cellStyle name="_KT_TG_2_GVL4_1" xfId="2468"/>
    <cellStyle name="_KT_TG_2_GVLmoi" xfId="2469"/>
    <cellStyle name="_KT_TG_2_k2+700" xfId="2470"/>
    <cellStyle name="_KT_TG_2_KE LUONG THUC" xfId="2471"/>
    <cellStyle name="_KT_TG_2_KE LUONG THUC111" xfId="2472"/>
    <cellStyle name="_KT_TG_2_Ke met wa" xfId="2473"/>
    <cellStyle name="_KT_TG_2_KE THA LA" xfId="2474"/>
    <cellStyle name="_KT_TG_2_KHAO SAT" xfId="2475"/>
    <cellStyle name="_KT_TG_2_khao sat Du an" xfId="2476"/>
    <cellStyle name="_KT_TG_2_KHAO SAT TRA VINH" xfId="2477"/>
    <cellStyle name="_KT_TG_2_KHIN PHI KENH T6" xfId="2478"/>
    <cellStyle name="_KT_TG_2_KHOI LUONG DE CUC BO CAI TAC - THANH DIEN" xfId="2479"/>
    <cellStyle name="_KT_TG_2_KHOI LUONG DE CUC BO CAI TAC - THANH DIEN_1" xfId="2480"/>
    <cellStyle name="_KT_TG_2_KLKS TK-8 cong kenh hau" xfId="2481"/>
    <cellStyle name="_KT_TG_2_KS - DE BAO SONG CAI OT" xfId="2482"/>
    <cellStyle name="_KT_TG_2_KS - DE BAO SONG CAI OT_1" xfId="2483"/>
    <cellStyle name="_KT_TG_2_KS - DE BAOCAI TAT - THANH DIEN" xfId="2484"/>
    <cellStyle name="_KT_TG_2_KS - DE BAOCAI TAT - THANH DIEN_1" xfId="2485"/>
    <cellStyle name="_KT_TG_2_KS - DE LAN NAM_CHO LACH" xfId="2486"/>
    <cellStyle name="_KT_TG_2_KS - DE LAN NAM_CHO LACH_1" xfId="2487"/>
    <cellStyle name="_KT_TG_2_KS - DE LAN NAM_CHO LACH_AD" xfId="2488"/>
    <cellStyle name="_KT_TG_2_KS - DE LAN NAM_CHO LACH_AD_1" xfId="2489"/>
    <cellStyle name="_KT_TG_2_KS - DE VEN SONG HAM LUONG_DAI DIEN " xfId="2490"/>
    <cellStyle name="_KT_TG_2_KS - DE VEN SONG HAM LUONG_DAI DIEN _1" xfId="2491"/>
    <cellStyle name="_KT_TG_2_Lora-tungchau" xfId="2492"/>
    <cellStyle name="_KT_TG_2_Lora-tungchau_1" xfId="2493"/>
    <cellStyle name="_KT_TG_2_Lora-tungchau_ks-diachaât caàu" xfId="2494"/>
    <cellStyle name="_KT_TG_2_Lora-tungchau_ks-diachaât caàu_1" xfId="2495"/>
    <cellStyle name="_KT_TG_2_mauBCC" xfId="2496"/>
    <cellStyle name="_KT_TG_2_moi" xfId="2497"/>
    <cellStyle name="_KT_TG_2_moi_1" xfId="2498"/>
    <cellStyle name="_KT_TG_2_moi_XL4Poppy" xfId="2499"/>
    <cellStyle name="_KT_TG_2_moi_XL4Poppy_1" xfId="2500"/>
    <cellStyle name="_KT_TG_2_moi_XL4Test5" xfId="2501"/>
    <cellStyle name="_KT_TG_2_moi_XL4Test5_1" xfId="2502"/>
    <cellStyle name="_KT_TG_2_PGIA-phieu tham tra Kho bac" xfId="2503"/>
    <cellStyle name="_KT_TG_2_PGIA-phieu tham tra Kho bac_1" xfId="2504"/>
    <cellStyle name="_KT_TG_2_PT02-02" xfId="2505"/>
    <cellStyle name="_KT_TG_2_PT02-02_1" xfId="2506"/>
    <cellStyle name="_KT_TG_2_PT02-02_Book1" xfId="2507"/>
    <cellStyle name="_KT_TG_2_PT02-02_Book1_1" xfId="2508"/>
    <cellStyle name="_KT_TG_2_PT02-02_Book1_ks-diachaât caàu" xfId="2509"/>
    <cellStyle name="_KT_TG_2_PT02-02_Book1_ks-diachaât caàu_1" xfId="2510"/>
    <cellStyle name="_KT_TG_2_PT02-03" xfId="2511"/>
    <cellStyle name="_KT_TG_2_PT02-03_1" xfId="2512"/>
    <cellStyle name="_KT_TG_2_PT02-03_Book1" xfId="2513"/>
    <cellStyle name="_KT_TG_2_PT02-03_Book1_1" xfId="2514"/>
    <cellStyle name="_KT_TG_2_PT02-03_Book1_ks-diachaât caàu" xfId="2515"/>
    <cellStyle name="_KT_TG_2_PT02-03_Book1_ks-diachaât caàu_1" xfId="2516"/>
    <cellStyle name="_KT_TG_2_QD so 957" xfId="2517"/>
    <cellStyle name="_KT_TG_2_QT TINH UNG 2002" xfId="2518"/>
    <cellStyle name="_KT_TG_2_Qt-HT3PQ1(CauKho)" xfId="2519"/>
    <cellStyle name="_KT_TG_2_Qt-HT3PQ1(CauKho)_1" xfId="2520"/>
    <cellStyle name="_KT_TG_2_Qt-HT3PQ1(CauKho)_Don gia quy 3 nam 2003 - Ban Dien Luc" xfId="2521"/>
    <cellStyle name="_KT_TG_2_Qt-HT3PQ1(CauKho)_Don gia quy 3 nam 2003 - Ban Dien Luc_1" xfId="2522"/>
    <cellStyle name="_KT_TG_2_Qt-HT3PQ1(CauKho)_Don gia quy 3 nam 2003 - Ban Dien Luc_ks-diachaât caàu" xfId="2523"/>
    <cellStyle name="_KT_TG_2_Qt-HT3PQ1(CauKho)_Don gia quy 3 nam 2003 - Ban Dien Luc_ks-diachaât caàu_1" xfId="2524"/>
    <cellStyle name="_KT_TG_2_Qt-HT3PQ1(CauKho)_ks-diachaât caàu" xfId="2525"/>
    <cellStyle name="_KT_TG_2_Qt-HT3PQ1(CauKho)_ks-diachaât caàu_1" xfId="2526"/>
    <cellStyle name="_KT_TG_2_Qt-HT3PQ1(CauKho)_NC-VL2-2003" xfId="2527"/>
    <cellStyle name="_KT_TG_2_Qt-HT3PQ1(CauKho)_NC-VL2-2003_1" xfId="2528"/>
    <cellStyle name="_KT_TG_2_Qt-HT3PQ1(CauKho)_NC-VL2-2003_1_1" xfId="2529"/>
    <cellStyle name="_KT_TG_2_Qt-HT3PQ1(CauKho)_NC-VL2-2003_1_1_1" xfId="2530"/>
    <cellStyle name="_KT_TG_2_Qt-HT3PQ1(CauKho)_NC-VL2-2003_1_ks-diachaât caàu" xfId="2531"/>
    <cellStyle name="_KT_TG_2_Qt-HT3PQ1(CauKho)_NC-VL2-2003_1_ks-diachaât caàu_1" xfId="2532"/>
    <cellStyle name="_KT_TG_2_Qt-HT3PQ1(CauKho)_XL4Test5" xfId="2533"/>
    <cellStyle name="_KT_TG_2_Qt-HT3PQ1(CauKho)_XL4Test5_1" xfId="2534"/>
    <cellStyle name="_KT_TG_2_Qt-HT3PQ1(CauKho)_XL4Test5_1_1" xfId="2535"/>
    <cellStyle name="_KT_TG_2_Qt-HT3PQ1(CauKho)_XL4Test5_1_1_1" xfId="2536"/>
    <cellStyle name="_KT_TG_2_Qt-HT3PQ1(CauKho)_XL4Test5_ks-diachaât caàu" xfId="2537"/>
    <cellStyle name="_KT_TG_2_Qt-HT3PQ1(CauKho)_XL4Test5_ks-diachaât caàu_1" xfId="2538"/>
    <cellStyle name="_KT_TG_2_Sheet2" xfId="2539"/>
    <cellStyle name="_KT_TG_2_Sheet2_1" xfId="2540"/>
    <cellStyle name="_KT_TG_2_SO TOAN KHOI LUONG DE DAI DIEN" xfId="2541"/>
    <cellStyle name="_KT_TG_2_SO TOAN KHOI LUONG DE DAI DIEN_1" xfId="2542"/>
    <cellStyle name="_KT_TG_2_STKL KE BAC LIEU" xfId="2543"/>
    <cellStyle name="_KT_TG_2_STKL NGACAITRONG" xfId="2544"/>
    <cellStyle name="_KT_TG_2_th" xfId="2545"/>
    <cellStyle name="_KT_TG_2_THDT" xfId="2546"/>
    <cellStyle name="_KT_TG_2_THDT PHUOC LONG PA1(T6)" xfId="2547"/>
    <cellStyle name="_KT_TG_2_THDT_1" xfId="2548"/>
    <cellStyle name="_KT_TG_2_THONG KE THEP" xfId="2549"/>
    <cellStyle name="_KT_TG_2_TKHC-THOIQUAN-05-04-2004" xfId="2550"/>
    <cellStyle name="_KT_TG_2_TKHC-THOIQUAN-05-04-2004_1" xfId="2551"/>
    <cellStyle name="_KT_TG_2_TMDT 4 GOI" xfId="2552"/>
    <cellStyle name="_KT_TG_2_TMDT GOI 2 BO BAC (tinh cp lai du phong)" xfId="2553"/>
    <cellStyle name="_KT_TG_2_TMDT22" xfId="2554"/>
    <cellStyle name="_KT_TG_2_TMDTPA1" xfId="2555"/>
    <cellStyle name="_KT_TG_2_TONG DU TOAN" xfId="2556"/>
    <cellStyle name="_KT_TG_2_TONG MUC DAU TU DC" xfId="2557"/>
    <cellStyle name="_KT_TG_2_XL4Poppy" xfId="2558"/>
    <cellStyle name="_KT_TG_2_XL4Poppy_1" xfId="2559"/>
    <cellStyle name="_KT_TG_2_XL4Poppy_XL4Test5" xfId="2560"/>
    <cellStyle name="_KT_TG_2_XL4Poppy_XL4Test5_1" xfId="2561"/>
    <cellStyle name="_KT_TG_2_XL4Test5" xfId="2562"/>
    <cellStyle name="_KT_TG_2_XL4Test5_1" xfId="2563"/>
    <cellStyle name="_KT_TG_3" xfId="2564"/>
    <cellStyle name="_KT_TG_3_1" xfId="2565"/>
    <cellStyle name="_KT_TG_4" xfId="2566"/>
    <cellStyle name="_KT_TG_4_1" xfId="2567"/>
    <cellStyle name="_KT_TG_4_BO KE THI TRAN TAN CHAU-GD2" xfId="2568"/>
    <cellStyle name="_KT_TG_4_Book1" xfId="2569"/>
    <cellStyle name="_KT_TG_4_Book1_1" xfId="2570"/>
    <cellStyle name="_KT_TG_4_CAP NUOC XUAN TO-TINH BIEN" xfId="2571"/>
    <cellStyle name="_KT_TG_4_CHO SON HIEP-AN BINH" xfId="2572"/>
    <cellStyle name="_KT_TG_4_DUONG TIEP NOI TDC KENH CHA VA - KENH QUYT" xfId="2573"/>
    <cellStyle name="_KT_TG_4_DUONG TIEP NOI TDC KENH CHA VA - KENH QUYT-LAN 2" xfId="2574"/>
    <cellStyle name="_KT_TG_4_GIA CUA" xfId="2575"/>
    <cellStyle name="_KT_TG_4_GIAO THONG" xfId="2576"/>
    <cellStyle name="_KT_TG_4_GT-KCN" xfId="2577"/>
    <cellStyle name="_KT_TG_4_HA TANG KY THUAT" xfId="2578"/>
    <cellStyle name="_KT_TG_4_HTCN-XA HOA BINH-CHO MOI" xfId="2579"/>
    <cellStyle name="_KT_TG_4_HTGT" xfId="2580"/>
    <cellStyle name="_KT_TG_4_HTGT-CDC BAC SON" xfId="2581"/>
    <cellStyle name="_KT_TG_4_HTGT-TDC KENH CA MAU AP KIEN THANH 2" xfId="2582"/>
    <cellStyle name="_KT_TG_4_HTGT-TDC NUI NOI MO RONG" xfId="2583"/>
    <cellStyle name="_KT_TG_4_HTTN" xfId="2584"/>
    <cellStyle name="_KT_TG_4_HTTN_1" xfId="2585"/>
    <cellStyle name="_KT_TG_4_HTTN-LAN 2" xfId="2586"/>
    <cellStyle name="_KT_TG_4_HTTN-TDC NUI NOI MO RONG" xfId="2587"/>
    <cellStyle name="_KT_TG_4_KE BAO VE BO SONG HAU KHU VUC TRU SO TINH UY" xfId="2588"/>
    <cellStyle name="_KT_TG_4_KHAO SAT" xfId="2589"/>
    <cellStyle name="_KT_TG_4_KHOI HANH-NHA NGHI TINH UY" xfId="2590"/>
    <cellStyle name="_KT_TG_4_KHOI NHA CHINH" xfId="2591"/>
    <cellStyle name="_KT_TG_4_KHOI THUC HANH" xfId="2592"/>
    <cellStyle name="_KT_TG_4_KHOI XAY MOI" xfId="2593"/>
    <cellStyle name="_KT_TG_4_lan 3" xfId="2594"/>
    <cellStyle name="_KT_TG_4_Lora-tungchau" xfId="2595"/>
    <cellStyle name="_KT_TG_4_Lora-tungchau_1" xfId="2596"/>
    <cellStyle name="_KT_TG_4_Mau" xfId="2597"/>
    <cellStyle name="_KT_TG_4_MR TT GIOI THIEU VIEC LAM" xfId="2598"/>
    <cellStyle name="_KT_TG_4_NCS-TIEU HOC A TAN CHAU" xfId="2599"/>
    <cellStyle name="_KT_TG_4_NGHIA TRANG LS DOC BA DAC" xfId="2600"/>
    <cellStyle name="_KT_TG_4_NHA HANG KS THANG LOI" xfId="2601"/>
    <cellStyle name="_KT_TG_4_NHA LAM VIEC CHI NHANH DANG KIEM CHAU DOC" xfId="2602"/>
    <cellStyle name="_KT_TG_4_Nha long cho bach hoa" xfId="2603"/>
    <cellStyle name="_KT_TG_4_NHA VE SINH" xfId="2604"/>
    <cellStyle name="_KT_TG_4_NLC-KHU DAN CU AP MY TAN" xfId="2605"/>
    <cellStyle name="_KT_TG_4_PHUONG AN 1-TINH VET BUN" xfId="2606"/>
    <cellStyle name="_KT_TG_4_Qt-HT3PQ1(CauKho)" xfId="2607"/>
    <cellStyle name="_KT_TG_4_Qt-HT3PQ1(CauKho)_1" xfId="2608"/>
    <cellStyle name="_KT_TG_4_Qt-HT3PQ1(CauKho)_Don gia quy 3 nam 2003 - Ban Dien Luc" xfId="2609"/>
    <cellStyle name="_KT_TG_4_Qt-HT3PQ1(CauKho)_Don gia quy 3 nam 2003 - Ban Dien Luc_1" xfId="2610"/>
    <cellStyle name="_KT_TG_4_Qt-HT3PQ1(CauKho)_Don gia quy 3 nam 2003 - Ban Dien Luc_ks-diachaât caàu" xfId="2611"/>
    <cellStyle name="_KT_TG_4_Qt-HT3PQ1(CauKho)_Don gia quy 3 nam 2003 - Ban Dien Luc_ks-diachaât caàu_1" xfId="2612"/>
    <cellStyle name="_KT_TG_4_Qt-HT3PQ1(CauKho)_ks-diachaât caàu" xfId="2613"/>
    <cellStyle name="_KT_TG_4_Qt-HT3PQ1(CauKho)_ks-diachaât caàu_1" xfId="2614"/>
    <cellStyle name="_KT_TG_4_Qt-HT3PQ1(CauKho)_NC-VL2-2003" xfId="2615"/>
    <cellStyle name="_KT_TG_4_Qt-HT3PQ1(CauKho)_NC-VL2-2003_1" xfId="2616"/>
    <cellStyle name="_KT_TG_4_Qt-HT3PQ1(CauKho)_NC-VL2-2003_1_1" xfId="2617"/>
    <cellStyle name="_KT_TG_4_Qt-HT3PQ1(CauKho)_NC-VL2-2003_1_1_1" xfId="2618"/>
    <cellStyle name="_KT_TG_4_Qt-HT3PQ1(CauKho)_NC-VL2-2003_1_ks-diachaât caàu" xfId="2619"/>
    <cellStyle name="_KT_TG_4_Qt-HT3PQ1(CauKho)_NC-VL2-2003_1_ks-diachaât caàu_1" xfId="2620"/>
    <cellStyle name="_KT_TG_4_Qt-HT3PQ1(CauKho)_XL4Test5" xfId="2621"/>
    <cellStyle name="_KT_TG_4_Qt-HT3PQ1(CauKho)_XL4Test5_1" xfId="2622"/>
    <cellStyle name="_KT_TG_4_Qt-HT3PQ1(CauKho)_XL4Test5_1_1" xfId="2623"/>
    <cellStyle name="_KT_TG_4_Qt-HT3PQ1(CauKho)_XL4Test5_1_1_1" xfId="2624"/>
    <cellStyle name="_KT_TG_4_Qt-HT3PQ1(CauKho)_XL4Test5_ks-diachaât caàu" xfId="2625"/>
    <cellStyle name="_KT_TG_4_Qt-HT3PQ1(CauKho)_XL4Test5_ks-diachaât caàu_1" xfId="2626"/>
    <cellStyle name="_KT_TG_4_TDC CON TIEN" xfId="2627"/>
    <cellStyle name="_KT_TG_4_thoat nuoc" xfId="2628"/>
    <cellStyle name="_KT_TG_4_THOAT NUOC_1" xfId="2629"/>
    <cellStyle name="_KT_TG_4_TIEU HOC A PHU HUU-BO SUNG" xfId="2630"/>
    <cellStyle name="_KT_TG_4_TN Kenh Thay  Ban" xfId="2631"/>
    <cellStyle name="_KT_TG_4_TRAM Y TE PHUONG CHAU PHU A" xfId="2632"/>
    <cellStyle name="_KT_TG_4_TRU SO HUYEN UY PHU TAN" xfId="2633"/>
    <cellStyle name="_KT_TG_4_TRUNG TAM Y TE THOAI SON" xfId="2634"/>
    <cellStyle name="_KT_TG_4_TRUONG MAU GIAO XA AN BINH" xfId="2635"/>
    <cellStyle name="_KT_TG_4_TRUONG MAU GIAO XA MY PHU DONG" xfId="2636"/>
    <cellStyle name="_KT_TG_4_TRUONG MAU GIAO XA VINH CHAU" xfId="2637"/>
    <cellStyle name="_KT_TG_4_TRUONG THPT NGUYEN KHUYEN" xfId="2638"/>
    <cellStyle name="_KT_TG_4_TRUONG THPT NGUYEN KHUYEN-LAN 2" xfId="2639"/>
    <cellStyle name="_KT_TG_4_TRUONG THPT VINH BINH" xfId="2640"/>
    <cellStyle name="_KT_TG_4_TTXLNT-TTKYT-TONG THE-LAN 3" xfId="2641"/>
    <cellStyle name="_KT_TG_4_WC-BAC VAM NAO" xfId="2642"/>
    <cellStyle name="_KT_TG_4_XA GO" xfId="2643"/>
    <cellStyle name="_KT_TG_Book1" xfId="2644"/>
    <cellStyle name="_KT_TG_Book1_1" xfId="2645"/>
    <cellStyle name="_KT_TG_Book2" xfId="2646"/>
    <cellStyle name="_KT_TG_Book2_1" xfId="2647"/>
    <cellStyle name="_KT_TG_C CHIN TUYEN" xfId="2648"/>
    <cellStyle name="_KT_TG_CONG 1.5.xls" xfId="2649"/>
    <cellStyle name="_KT_TG_Cong K2+190" xfId="2650"/>
    <cellStyle name="_KT_TG_Cong K2+190 ( cuoi )" xfId="2651"/>
    <cellStyle name="_KT_TG_CONG KENH 12" xfId="2652"/>
    <cellStyle name="_KT_TG_Copy of CAU CHIN TUYEN" xfId="2653"/>
    <cellStyle name="_KT_TG_DT - TAN PHU TAY A " xfId="2654"/>
    <cellStyle name="_KT_TG_DT - TAN PHU TAY A _1" xfId="2655"/>
    <cellStyle name="_KT_TG_DT CCAU SO 2" xfId="2656"/>
    <cellStyle name="_KT_TG_DT Cong 2PHI 100 BONAM KENH XA NU" xfId="2657"/>
    <cellStyle name="_KT_TG_DT CONG BA CHUA (-1.5)" xfId="2658"/>
    <cellStyle name="_KT_TG_Du phong Cong Tha La" xfId="2659"/>
    <cellStyle name="_KT_TG_Du toan Mau" xfId="2660"/>
    <cellStyle name="_KT_TG_DU TOAN MAU_1" xfId="2661"/>
    <cellStyle name="_KT_TG_GIAVLXD092010_1287366083109" xfId="2662"/>
    <cellStyle name="_KT_TG_GT21_ CONG TIEU Þ60" xfId="2663"/>
    <cellStyle name="_KT_TG_GVL4" xfId="2664"/>
    <cellStyle name="_KT_TG_GVL4_1" xfId="2665"/>
    <cellStyle name="_KT_TG_GVLmoi" xfId="2666"/>
    <cellStyle name="_KT_TG_k2+700" xfId="2667"/>
    <cellStyle name="_KT_TG_KE LUONG THUC" xfId="2668"/>
    <cellStyle name="_KT_TG_KE LUONG THUC111" xfId="2669"/>
    <cellStyle name="_KT_TG_Ke met wa" xfId="2670"/>
    <cellStyle name="_KT_TG_KE THA LA" xfId="2671"/>
    <cellStyle name="_KT_TG_KHAO SAT" xfId="2672"/>
    <cellStyle name="_KT_TG_khao sat Du an" xfId="2673"/>
    <cellStyle name="_KT_TG_KHAO SAT TRA VINH" xfId="2674"/>
    <cellStyle name="_KT_TG_KHIN PHI KENH T6" xfId="2675"/>
    <cellStyle name="_KT_TG_KHOI LUONG DE CUC BO CAI TAC - THANH DIEN" xfId="2676"/>
    <cellStyle name="_KT_TG_KHOI LUONG DE CUC BO CAI TAC - THANH DIEN_1" xfId="2677"/>
    <cellStyle name="_KT_TG_KLKS TK-8 cong kenh hau" xfId="2678"/>
    <cellStyle name="_KT_TG_KS - DE BAO SONG CAI OT" xfId="2679"/>
    <cellStyle name="_KT_TG_KS - DE BAO SONG CAI OT_1" xfId="2680"/>
    <cellStyle name="_KT_TG_KS - DE BAOCAI TAT - THANH DIEN" xfId="2681"/>
    <cellStyle name="_KT_TG_KS - DE BAOCAI TAT - THANH DIEN_1" xfId="2682"/>
    <cellStyle name="_KT_TG_KS - DE LAN NAM_CHO LACH" xfId="2683"/>
    <cellStyle name="_KT_TG_KS - DE LAN NAM_CHO LACH_1" xfId="2684"/>
    <cellStyle name="_KT_TG_KS - DE LAN NAM_CHO LACH_AD" xfId="2685"/>
    <cellStyle name="_KT_TG_KS - DE LAN NAM_CHO LACH_AD_1" xfId="2686"/>
    <cellStyle name="_KT_TG_KS - DE VEN SONG HAM LUONG_DAI DIEN " xfId="2687"/>
    <cellStyle name="_KT_TG_KS - DE VEN SONG HAM LUONG_DAI DIEN _1" xfId="2688"/>
    <cellStyle name="_KT_TG_QD so 957" xfId="2689"/>
    <cellStyle name="_KT_TG_SO TOAN KHOI LUONG DE DAI DIEN" xfId="2690"/>
    <cellStyle name="_KT_TG_SO TOAN KHOI LUONG DE DAI DIEN_1" xfId="2691"/>
    <cellStyle name="_KT_TG_STKL KE BAC LIEU" xfId="2692"/>
    <cellStyle name="_KT_TG_STKL NGACAITRONG" xfId="2693"/>
    <cellStyle name="_KT_TG_th" xfId="2694"/>
    <cellStyle name="_KT_TG_THDT" xfId="2695"/>
    <cellStyle name="_KT_TG_THDT PHUOC LONG PA1(T6)" xfId="2696"/>
    <cellStyle name="_KT_TG_THDT_1" xfId="2697"/>
    <cellStyle name="_KT_TG_THONG KE THEP" xfId="2698"/>
    <cellStyle name="_KT_TG_TMDT 4 GOI" xfId="2699"/>
    <cellStyle name="_KT_TG_TMDT GOI 2 BO BAC (tinh cp lai du phong)" xfId="2700"/>
    <cellStyle name="_KT_TG_TMDT22" xfId="2701"/>
    <cellStyle name="_KT_TG_TMDTPA1" xfId="2702"/>
    <cellStyle name="_KT_TG_TONG DU TOAN" xfId="2703"/>
    <cellStyle name="_KT_TG_TONG MUC DAU TU DC" xfId="2704"/>
    <cellStyle name="_Lam lai DS7" xfId="2705"/>
    <cellStyle name="_Lam lai DS7 (version 1)" xfId="2706"/>
    <cellStyle name="_lan 3" xfId="2707"/>
    <cellStyle name="_Lora-tungchau" xfId="2708"/>
    <cellStyle name="_Lora-tungchau_1" xfId="2709"/>
    <cellStyle name="_Mau" xfId="2710"/>
    <cellStyle name="_mauBCC" xfId="2711"/>
    <cellStyle name="_MR TT GIOI THIEU VIEC LAM" xfId="2712"/>
    <cellStyle name="_NCCT_TBT_24-1" xfId="2713"/>
    <cellStyle name="_NCCT_TBT_24-1_dao huu co DONG DO tu Km16+453.33 den Km16+984.25" xfId="2714"/>
    <cellStyle name="_NCS-TIEU HOC A TAN CHAU" xfId="2715"/>
    <cellStyle name="_NGHIA TRANG LS DOC BA DAC" xfId="2716"/>
    <cellStyle name="_NHA HANG KS THANG LOI" xfId="2717"/>
    <cellStyle name="_NHA LAM VIEC CHI NHANH DANG KIEM CHAU DOC" xfId="2718"/>
    <cellStyle name="_Nha long cho bach hoa" xfId="2719"/>
    <cellStyle name="_NHA VE SINH" xfId="2720"/>
    <cellStyle name="_NLC-KHU DAN CU AP MY TAN" xfId="2721"/>
    <cellStyle name="_PERSONAL" xfId="2722"/>
    <cellStyle name="_PERSONAL_1" xfId="2723"/>
    <cellStyle name="_PERSONAL_2.DT_CONG_MY SON DONG_ DC SAU THAM DINH" xfId="2724"/>
    <cellStyle name="_PERSONAL_2.DT_CONG_MY SON DONG_ DC SAU THAM DINH_1" xfId="2725"/>
    <cellStyle name="_PERSONAL_Book1" xfId="2726"/>
    <cellStyle name="_PERSONAL_Book1_1" xfId="2727"/>
    <cellStyle name="_PERSONAL_Book1_KHAO SAT TRA VINH" xfId="2728"/>
    <cellStyle name="_PERSONAL_Book2" xfId="2729"/>
    <cellStyle name="_PERSONAL_Book2_1" xfId="2730"/>
    <cellStyle name="_PERSONAL_DT - TAN PHU TAY A " xfId="2731"/>
    <cellStyle name="_PERSONAL_DT - TAN PHU TAY A _1" xfId="2732"/>
    <cellStyle name="_PERSONAL_DU TOAN MAU" xfId="2733"/>
    <cellStyle name="_PERSONAL_DU TOAN MAU_1" xfId="2734"/>
    <cellStyle name="_PERSONAL_GIAVLXD092010_1287366083109" xfId="2735"/>
    <cellStyle name="_PERSONAL_HTQ.8 GD1" xfId="2736"/>
    <cellStyle name="_PERSONAL_HTQ.8 GD1_1" xfId="2737"/>
    <cellStyle name="_PERSONAL_HTQ.8 GD1_Don gia quy 3 nam 2003 - Ban Dien Luc" xfId="2738"/>
    <cellStyle name="_PERSONAL_HTQ.8 GD1_Don gia quy 3 nam 2003 - Ban Dien Luc_1" xfId="2739"/>
    <cellStyle name="_PERSONAL_HTQ.8 GD1_ks-diachaât caàu" xfId="2740"/>
    <cellStyle name="_PERSONAL_HTQ.8 GD1_ks-diachaât caàu_1" xfId="2741"/>
    <cellStyle name="_PERSONAL_HTQ.8 GD1_NC-VL2-2003" xfId="2742"/>
    <cellStyle name="_PERSONAL_HTQ.8 GD1_NC-VL2-2003_1" xfId="2743"/>
    <cellStyle name="_PERSONAL_HTQ.8 GD1_NC-VL2-2003_1_1" xfId="2744"/>
    <cellStyle name="_PERSONAL_HTQ.8 GD1_NC-VL2-2003_1_1_1" xfId="2745"/>
    <cellStyle name="_PERSONAL_HTQ.8 GD1_XL4Test5" xfId="2746"/>
    <cellStyle name="_PERSONAL_HTQ.8 GD1_XL4Test5_1" xfId="2747"/>
    <cellStyle name="_PERSONAL_HTQ.8 GD1_XL4Test5_1_1" xfId="2748"/>
    <cellStyle name="_PERSONAL_HTQ.8 GD1_XL4Test5_1_1_1" xfId="2749"/>
    <cellStyle name="_PERSONAL_KHAO SAT TRA VINH" xfId="2750"/>
    <cellStyle name="_PERSONAL_KHOI LUONG DE CUC BO CAI TAC - THANH DIEN" xfId="2751"/>
    <cellStyle name="_PERSONAL_KHOI LUONG DE CUC BO CAI TAC - THANH DIEN_1" xfId="2752"/>
    <cellStyle name="_PERSONAL_KS - DE BAO SONG CAI OT" xfId="2753"/>
    <cellStyle name="_PERSONAL_KS - DE BAO SONG CAI OT_1" xfId="2754"/>
    <cellStyle name="_PERSONAL_KS - DE BAOCAI TAT - THANH DIEN" xfId="2755"/>
    <cellStyle name="_PERSONAL_KS - DE BAOCAI TAT - THANH DIEN_1" xfId="2756"/>
    <cellStyle name="_PERSONAL_KS - DE LAN NAM_CHO LACH" xfId="2757"/>
    <cellStyle name="_PERSONAL_KS - DE LAN NAM_CHO LACH_1" xfId="2758"/>
    <cellStyle name="_PERSONAL_KS - DE LAN NAM_CHO LACH_AD" xfId="2759"/>
    <cellStyle name="_PERSONAL_KS - DE LAN NAM_CHO LACH_AD_1" xfId="2760"/>
    <cellStyle name="_PERSONAL_KS - DE VEN SONG HAM LUONG_DAI DIEN " xfId="2761"/>
    <cellStyle name="_PERSONAL_KS - DE VEN SONG HAM LUONG_DAI DIEN _1" xfId="2762"/>
    <cellStyle name="_PERSONAL_QD so 957" xfId="2763"/>
    <cellStyle name="_PERSONAL_SO TOAN KHOI LUONG DE DAI DIEN" xfId="2764"/>
    <cellStyle name="_PERSONAL_SO TOAN KHOI LUONG DE DAI DIEN_1" xfId="2765"/>
    <cellStyle name="_PERSONAL_Tong hop KHCB 2001" xfId="2766"/>
    <cellStyle name="_PERSONAL_Tong hop KHCB 2001_1" xfId="2767"/>
    <cellStyle name="_Phan XD" xfId="2768"/>
    <cellStyle name="_Phan XD_1 DT CONG BTCT Þ1000" xfId="2769"/>
    <cellStyle name="_Phan XD_2 DT CONG BTCT Þ1000 - goi thau 2-t1 ook" xfId="2770"/>
    <cellStyle name="_Phan XD_2.DT_CONG_MY SON DONG_ DC SAU THAM DINH" xfId="2771"/>
    <cellStyle name="_Phan XD_2.DT_CONG_MY SON DONG_ DC SAU THAM DINH_Khối lượng hoàn thành" xfId="2772"/>
    <cellStyle name="_Phan XD_4 TONG DU TOAN (3-2012)" xfId="2773"/>
    <cellStyle name="_Phan XD_ben pha kenh xang xeo ro-thamdinh" xfId="2774"/>
    <cellStyle name="_Phan XD_CAU CHIN TUYEN" xfId="2775"/>
    <cellStyle name="_Phan XD_CONG NGANG DUONG" xfId="2776"/>
    <cellStyle name="_Phan XD_CONG NGANG DUONG -" xfId="2777"/>
    <cellStyle name="_Phan XD_da sua - 4 DU TOAN CAU BAN KENH MUONG LO" xfId="2778"/>
    <cellStyle name="_Phan XD_DT - TAN PHU TAY A " xfId="2779"/>
    <cellStyle name="_Phan XD_DT - TAN PHU TAY A _Khối lượng hoàn thành" xfId="2780"/>
    <cellStyle name="_Phan XD_DT CAU" xfId="2781"/>
    <cellStyle name="_Phan XD_DT CAU 7 SUOL-Thamdinh" xfId="2782"/>
    <cellStyle name="_Phan XD_DT CAU KIEM LAM-thamdinh" xfId="2783"/>
    <cellStyle name="_Phan XD_DT CONG-thamdinh" xfId="2784"/>
    <cellStyle name="_Phan XD_DT KENH KHU 2-thamdinh" xfId="2785"/>
    <cellStyle name="_Phan XD_duong giong nhan ganh hao - cong ngang duong" xfId="2786"/>
    <cellStyle name="_Phan XD_Duong Giong Nhan Ganh Hao - Duong giao thong" xfId="2787"/>
    <cellStyle name="_Phan XD_DUONG -GOI THAU 2" xfId="2788"/>
    <cellStyle name="_Phan XD_DUONG TUYEN -goi thau 1" xfId="2789"/>
    <cellStyle name="_Phan XD_KHOI LUONG DE CUC BO CAI TAC - THANH DIEN" xfId="2790"/>
    <cellStyle name="_Phan XD_KHOI LUONG DE CUC BO CAI TAC - THANH DIEN_Khối lượng hoàn thành" xfId="2791"/>
    <cellStyle name="_Phan XD_KL-DH" xfId="2792"/>
    <cellStyle name="_Phan XD_KL-DH_da sua - 4 DU TOAN CAU BAN KENH MUONG LO" xfId="2793"/>
    <cellStyle name="_Phan XD_KL-DH_DT CONG-thamdinh" xfId="2794"/>
    <cellStyle name="_Phan XD_KL-DHDM" xfId="2795"/>
    <cellStyle name="_Phan XD_KL-DHDM_da sua - 4 DU TOAN CAU BAN KENH MUONG LO" xfId="2796"/>
    <cellStyle name="_Phan XD_KL-DHDM_DT CONG-thamdinh" xfId="2797"/>
    <cellStyle name="_Phan XD_KL-DHK" xfId="2798"/>
    <cellStyle name="_Phan XD_KL-DHK_da sua - 4 DU TOAN CAU BAN KENH MUONG LO" xfId="2799"/>
    <cellStyle name="_Phan XD_KL-DHK_DT CONG-thamdinh" xfId="2800"/>
    <cellStyle name="_Phan XD_KS - DE BAO SONG CAI OT" xfId="2801"/>
    <cellStyle name="_Phan XD_KS - DE BAO SONG CAI OT_Khối lượng hoàn thành" xfId="2802"/>
    <cellStyle name="_Phan XD_KS - DE BAOCAI TAT - THANH DIEN" xfId="2803"/>
    <cellStyle name="_Phan XD_KS - DE BAOCAI TAT - THANH DIEN_Khối lượng hoàn thành" xfId="2804"/>
    <cellStyle name="_Phan XD_KS - DE LAN NAM_CHO LACH" xfId="2805"/>
    <cellStyle name="_Phan XD_KS - DE LAN NAM_CHO LACH_AD" xfId="2806"/>
    <cellStyle name="_Phan XD_KS - DE LAN NAM_CHO LACH_AD_Khối lượng hoàn thành" xfId="2807"/>
    <cellStyle name="_Phan XD_KS - DE LAN NAM_CHO LACH_Khối lượng hoàn thành" xfId="2808"/>
    <cellStyle name="_Phan XD_KS - DE VEN SONG HAM LUONG_DAI DIEN " xfId="2809"/>
    <cellStyle name="_Phan XD_KS - DE VEN SONG HAM LUONG_DAI DIEN _Khối lượng hoàn thành" xfId="2810"/>
    <cellStyle name="_Phan XD_SO TOAN KHOI LUONG DE DAI DIEN" xfId="2811"/>
    <cellStyle name="_Phan XD_SO TOAN KHOI LUONG DE DAI DIEN_Khối lượng hoàn thành" xfId="2812"/>
    <cellStyle name="_Phan XD_TK cong" xfId="2813"/>
    <cellStyle name="_PHUONG AN 1-TINH VET BUN" xfId="2814"/>
    <cellStyle name="_QD so 957" xfId="2815"/>
    <cellStyle name="_QT TINH UNG 2002" xfId="2816"/>
    <cellStyle name="_Qt-HT3PQ1(CauKho)" xfId="2817"/>
    <cellStyle name="_Qt-HT3PQ1(CauKho)_1" xfId="2818"/>
    <cellStyle name="_Qt-HT3PQ1(CauKho)_Don gia quy 3 nam 2003 - Ban Dien Luc" xfId="2819"/>
    <cellStyle name="_Qt-HT3PQ1(CauKho)_Don gia quy 3 nam 2003 - Ban Dien Luc_1" xfId="2820"/>
    <cellStyle name="_Qt-HT3PQ1(CauKho)_ks-diachaât caàu" xfId="2821"/>
    <cellStyle name="_Qt-HT3PQ1(CauKho)_ks-diachaât caàu_1" xfId="2822"/>
    <cellStyle name="_Qt-HT3PQ1(CauKho)_NC-VL2-2003" xfId="2823"/>
    <cellStyle name="_Qt-HT3PQ1(CauKho)_NC-VL2-2003_1" xfId="2824"/>
    <cellStyle name="_Qt-HT3PQ1(CauKho)_NC-VL2-2003_1_1" xfId="2825"/>
    <cellStyle name="_Qt-HT3PQ1(CauKho)_NC-VL2-2003_1_1_1" xfId="2826"/>
    <cellStyle name="_Qt-HT3PQ1(CauKho)_XL4Test5" xfId="2827"/>
    <cellStyle name="_Qt-HT3PQ1(CauKho)_XL4Test5_1" xfId="2828"/>
    <cellStyle name="_Qt-HT3PQ1(CauKho)_XL4Test5_1_1" xfId="2829"/>
    <cellStyle name="_Qt-HT3PQ1(CauKho)_XL4Test5_1_1_1" xfId="2830"/>
    <cellStyle name="_Rach Chanh 5-07 sau TDTK(VL T3-07)" xfId="2831"/>
    <cellStyle name="_Rach Chanh 5-07 sau TDTK(VL T3-07)_2.DT_CONG_MY SON DONG_ DC SAU THAM DINH" xfId="2832"/>
    <cellStyle name="_Rach Chanh 5-07 sau TDTK(VL T3-07)_2.DT_CONG_MY SON DONG_ DC SAU THAM DINH_Khối lượng hoàn thành" xfId="2833"/>
    <cellStyle name="_Rach Chanh 5-07 sau TDTK(VL T3-07)_DT - TAN PHU TAY A " xfId="2834"/>
    <cellStyle name="_Rach Chanh 5-07 sau TDTK(VL T3-07)_DT - TAN PHU TAY A _Khối lượng hoàn thành" xfId="2835"/>
    <cellStyle name="_Rach Chanh 5-07 sau TDTK(VL T3-07)_KHOI LUONG DE CUC BO CAI TAC - THANH DIEN" xfId="2836"/>
    <cellStyle name="_Rach Chanh 5-07 sau TDTK(VL T3-07)_KHOI LUONG DE CUC BO CAI TAC - THANH DIEN_Khối lượng hoàn thành" xfId="2837"/>
    <cellStyle name="_Rach Chanh 5-07 sau TDTK(VL T3-07)_SO TOAN KHOI LUONG DE DAI DIEN" xfId="2838"/>
    <cellStyle name="_Rach Chanh 5-07 sau TDTK(VL T3-07)_SO TOAN KHOI LUONG DE DAI DIEN_Khối lượng hoàn thành" xfId="2839"/>
    <cellStyle name="_STKL KE BAC LIEU" xfId="2840"/>
    <cellStyle name="_sua dtoankenh Dong" xfId="2841"/>
    <cellStyle name="_sua dtoankenh Dong_1 DT CONG BTCT Þ1000" xfId="2842"/>
    <cellStyle name="_sua dtoankenh Dong_2 DT CONG BTCT Þ1000 - goi thau 2-t1 ook" xfId="2843"/>
    <cellStyle name="_sua dtoankenh Dong_2.DT_CONG_MY SON DONG_ DC SAU THAM DINH" xfId="2844"/>
    <cellStyle name="_sua dtoankenh Dong_2.DT_CONG_MY SON DONG_ DC SAU THAM DINH_Khối lượng hoàn thành" xfId="2845"/>
    <cellStyle name="_sua dtoankenh Dong_4 TONG DU TOAN (3-2012)" xfId="2846"/>
    <cellStyle name="_sua dtoankenh Dong_ben pha kenh xang xeo ro-thamdinh" xfId="2847"/>
    <cellStyle name="_sua dtoankenh Dong_CAU CHIN TUYEN" xfId="2848"/>
    <cellStyle name="_sua dtoankenh Dong_CONG NGANG DUONG" xfId="2849"/>
    <cellStyle name="_sua dtoankenh Dong_CONG NGANG DUONG -" xfId="2850"/>
    <cellStyle name="_sua dtoankenh Dong_da sua - 4 DU TOAN CAU BAN KENH MUONG LO" xfId="2851"/>
    <cellStyle name="_sua dtoankenh Dong_DT - TAN PHU TAY A " xfId="2852"/>
    <cellStyle name="_sua dtoankenh Dong_DT - TAN PHU TAY A _Khối lượng hoàn thành" xfId="2853"/>
    <cellStyle name="_sua dtoankenh Dong_DT CAU" xfId="2854"/>
    <cellStyle name="_sua dtoankenh Dong_DT CAU 7 SUOL-Thamdinh" xfId="2855"/>
    <cellStyle name="_sua dtoankenh Dong_DT CAU KIEM LAM-thamdinh" xfId="2856"/>
    <cellStyle name="_sua dtoankenh Dong_DT CONG-thamdinh" xfId="2857"/>
    <cellStyle name="_sua dtoankenh Dong_DT KENH KHU 2-thamdinh" xfId="2858"/>
    <cellStyle name="_sua dtoankenh Dong_duong giong nhan ganh hao - cong ngang duong" xfId="2859"/>
    <cellStyle name="_sua dtoankenh Dong_Duong Giong Nhan Ganh Hao - Duong giao thong" xfId="2860"/>
    <cellStyle name="_sua dtoankenh Dong_DUONG -GOI THAU 2" xfId="2861"/>
    <cellStyle name="_sua dtoankenh Dong_DUONG TUYEN -goi thau 1" xfId="2862"/>
    <cellStyle name="_sua dtoankenh Dong_KHOI LUONG DE CUC BO CAI TAC - THANH DIEN" xfId="2863"/>
    <cellStyle name="_sua dtoankenh Dong_KHOI LUONG DE CUC BO CAI TAC - THANH DIEN 2" xfId="2864"/>
    <cellStyle name="_sua dtoankenh Dong_KS - DE BAO SONG CAI OT" xfId="2865"/>
    <cellStyle name="_sua dtoankenh Dong_KS - DE BAO SONG CAI OT_Khối lượng hoàn thành" xfId="2866"/>
    <cellStyle name="_sua dtoankenh Dong_KS - DE BAOCAI TAT - THANH DIEN" xfId="2867"/>
    <cellStyle name="_sua dtoankenh Dong_KS - DE BAOCAI TAT - THANH DIEN_Khối lượng hoàn thành" xfId="2868"/>
    <cellStyle name="_sua dtoankenh Dong_KS - DE LAN NAM_CHO LACH" xfId="2869"/>
    <cellStyle name="_sua dtoankenh Dong_KS - DE LAN NAM_CHO LACH_AD" xfId="2870"/>
    <cellStyle name="_sua dtoankenh Dong_KS - DE LAN NAM_CHO LACH_AD_Khối lượng hoàn thành" xfId="2871"/>
    <cellStyle name="_sua dtoankenh Dong_KS - DE LAN NAM_CHO LACH_Khối lượng hoàn thành" xfId="2872"/>
    <cellStyle name="_sua dtoankenh Dong_KS - DE VEN SONG HAM LUONG_DAI DIEN " xfId="2873"/>
    <cellStyle name="_sua dtoankenh Dong_KS - DE VEN SONG HAM LUONG_DAI DIEN _Khối lượng hoàn thành" xfId="2874"/>
    <cellStyle name="_sua dtoankenh Dong_SO TOAN KHOI LUONG DE DAI DIEN" xfId="2875"/>
    <cellStyle name="_sua dtoankenh Dong_SO TOAN KHOI LUONG DE DAI DIEN_Khối lượng hoàn thành" xfId="2876"/>
    <cellStyle name="_sua dtoankenh Dong_TK cong" xfId="2877"/>
    <cellStyle name="_TDC CON TIEN" xfId="2878"/>
    <cellStyle name="_TG-TH" xfId="2879"/>
    <cellStyle name="_TG-TH_1" xfId="2880"/>
    <cellStyle name="_TG-TH_1_1" xfId="2881"/>
    <cellStyle name="_TG-TH_1_2.DT_CONG_MY SON DONG_ DC SAU THAM DINH" xfId="2882"/>
    <cellStyle name="_TG-TH_1_2.DT_CONG_MY SON DONG_ DC SAU THAM DINH_1" xfId="2883"/>
    <cellStyle name="_TG-TH_1_BAO CAO KLCT PT2000" xfId="2884"/>
    <cellStyle name="_TG-TH_1_BAO CAO KLCT PT2000_1" xfId="2885"/>
    <cellStyle name="_TG-TH_1_BAO CAO PT2000" xfId="2886"/>
    <cellStyle name="_TG-TH_1_BAO CAO PT2000_1" xfId="2887"/>
    <cellStyle name="_TG-TH_1_BAO CAO PT2000_Book1" xfId="2888"/>
    <cellStyle name="_TG-TH_1_BAO CAO PT2000_Book1_1" xfId="2889"/>
    <cellStyle name="_TG-TH_1_Bao cao XDCB 2001 - T11 KH dieu chinh 20-11-THAI" xfId="2890"/>
    <cellStyle name="_TG-TH_1_Bao cao XDCB 2001 - T11 KH dieu chinh 20-11-THAI_1" xfId="2891"/>
    <cellStyle name="_TG-TH_1_Book1" xfId="2892"/>
    <cellStyle name="_TG-TH_1_Book1_1" xfId="2893"/>
    <cellStyle name="_TG-TH_1_Book1_1 DTKS Quoi Thien" xfId="2894"/>
    <cellStyle name="_TG-TH_1_Book1_1_1" xfId="2895"/>
    <cellStyle name="_TG-TH_1_Book1_1_1_1" xfId="2896"/>
    <cellStyle name="_TG-TH_1_Book1_1_Book1" xfId="2897"/>
    <cellStyle name="_TG-TH_1_Book1_1_Book1_1" xfId="2898"/>
    <cellStyle name="_TG-TH_1_Book1_1_Book1_Book1" xfId="2899"/>
    <cellStyle name="_TG-TH_1_Book1_1_Book1_dt tham tra nha tram bien ap" xfId="2900"/>
    <cellStyle name="_TG-TH_1_Book1_1_Book1_KHAO SAT TRA VINH" xfId="2901"/>
    <cellStyle name="_TG-TH_1_Book1_1_Can Tho DINH MUC lao dong 20-09-2004" xfId="2902"/>
    <cellStyle name="_TG-TH_1_Book1_1_CDC PHU LAC XA HOA LAC" xfId="2903"/>
    <cellStyle name="_TG-TH_1_Book1_1_congPhuThoAAAAA" xfId="2904"/>
    <cellStyle name="_TG-TH_1_Book1_1_Danglam-CVC-02-2-07-Duong-goi5-Bthuy-MT-TN" xfId="2905"/>
    <cellStyle name="_TG-TH_1_Book1_1_DanhMucDonGiaVTTB_Dien_TAM" xfId="2906"/>
    <cellStyle name="_TG-TH_1_Book1_1_DanhMucDonGiaVTTB_Dien_TAM_1" xfId="2907"/>
    <cellStyle name="_TG-TH_1_Book1_1_du toan Petro" xfId="2908"/>
    <cellStyle name="_TG-TH_1_Book1_1_file TDinh" xfId="2909"/>
    <cellStyle name="_TG-TH_1_Book1_1_GIAVLXD092010_1287366083109" xfId="2910"/>
    <cellStyle name="_TG-TH_1_Book1_1_GuiChudautu-20-02-07-Thamtra-KDC-Mthan-TrNoc" xfId="2911"/>
    <cellStyle name="_TG-TH_1_Book1_1_QD so 957" xfId="2912"/>
    <cellStyle name="_TG-TH_1_Book1_2" xfId="2913"/>
    <cellStyle name="_TG-TH_1_Book1_2.DT_CONG_MY SON DONG_ DC SAU THAM DINH" xfId="2914"/>
    <cellStyle name="_TG-TH_1_Book1_2.DT_CONG_MY SON DONG_ DC SAU THAM DINH_1" xfId="2915"/>
    <cellStyle name="_TG-TH_1_Book1_2_1" xfId="2916"/>
    <cellStyle name="_TG-TH_1_Book1_2_Book1" xfId="2917"/>
    <cellStyle name="_TG-TH_1_Book1_2_Book1_cu xeo chac dc theo Nien" xfId="2918"/>
    <cellStyle name="_TG-TH_1_Book1_2_congPhuThoAAAAA" xfId="2919"/>
    <cellStyle name="_TG-TH_1_Book1_2_cu xeo chac dc theo Nien" xfId="2920"/>
    <cellStyle name="_TG-TH_1_Book1_2_dt tham tra nha tram bien ap" xfId="2921"/>
    <cellStyle name="_TG-TH_1_Book1_2_KHAO SAT TRA VINH" xfId="2922"/>
    <cellStyle name="_TG-TH_1_Book1_2_Thuyet minh cau vuot" xfId="2923"/>
    <cellStyle name="_TG-TH_1_Book1_3" xfId="2924"/>
    <cellStyle name="_TG-TH_1_Book1_3_1" xfId="2925"/>
    <cellStyle name="_TG-TH_1_Book1_3_Book1" xfId="2926"/>
    <cellStyle name="_TG-TH_1_Book1_3_Book1_cu xeo chac dc theo Nien" xfId="2927"/>
    <cellStyle name="_TG-TH_1_Book1_3_cu xeo chac dc theo Nien" xfId="2928"/>
    <cellStyle name="_TG-TH_1_Book1_3_dt tham tra nha tram bien ap" xfId="2929"/>
    <cellStyle name="_TG-TH_1_Book1_3_KHAO SAT TRA VINH" xfId="2930"/>
    <cellStyle name="_TG-TH_1_Book1_3_Thuyet minh cau vuot" xfId="2931"/>
    <cellStyle name="_TG-TH_1_Book1_4" xfId="2932"/>
    <cellStyle name="_TG-TH_1_Book1_4 CHI PHI CAM MOC GPMB" xfId="2933"/>
    <cellStyle name="_TG-TH_1_Book1_4_1" xfId="2934"/>
    <cellStyle name="_TG-TH_1_Book1_5" xfId="2935"/>
    <cellStyle name="_TG-TH_1_Book1_BC-QT-WB-dthao" xfId="2936"/>
    <cellStyle name="_TG-TH_1_Book1_BC-QT-WB-dthao_1" xfId="2937"/>
    <cellStyle name="_TG-TH_1_Book1_BC-QT-WB-dthao_ks-diachaât caàu" xfId="2938"/>
    <cellStyle name="_TG-TH_1_Book1_BC-QT-WB-dthao_ks-diachaât caàu_1" xfId="2939"/>
    <cellStyle name="_TG-TH_1_Book1_Book1" xfId="2940"/>
    <cellStyle name="_TG-TH_1_Book1_Book1_1" xfId="2941"/>
    <cellStyle name="_TG-TH_1_Book1_Book1_1_1" xfId="2942"/>
    <cellStyle name="_TG-TH_1_Book1_Book1_1_1_1" xfId="2943"/>
    <cellStyle name="_TG-TH_1_Book1_Book1_1_Book1" xfId="2944"/>
    <cellStyle name="_TG-TH_1_Book1_Book1_1_dt tham tra nha tram bien ap" xfId="2945"/>
    <cellStyle name="_TG-TH_1_Book1_Book1_1_KHAO SAT TRA VINH" xfId="2946"/>
    <cellStyle name="_TG-TH_1_Book1_Book1_2" xfId="2947"/>
    <cellStyle name="_TG-TH_1_Book1_Book1_2.DT_CONG_MY SON DONG_ DC SAU THAM DINH" xfId="2948"/>
    <cellStyle name="_TG-TH_1_Book1_Book1_2.DT_CONG_MY SON DONG_ DC SAU THAM DINH_1" xfId="2949"/>
    <cellStyle name="_TG-TH_1_Book1_Book1_Book1" xfId="2950"/>
    <cellStyle name="_TG-TH_1_Book1_Book1_Book1_cu xeo chac dc theo Nien" xfId="2951"/>
    <cellStyle name="_TG-TH_1_Book1_Book1_CDC PHU LAC XA HOA LAC" xfId="2952"/>
    <cellStyle name="_TG-TH_1_Book1_Book1_congPhuThoAAAAA" xfId="2953"/>
    <cellStyle name="_TG-TH_1_Book1_Book1_cu xeo chac dc theo Nien" xfId="2954"/>
    <cellStyle name="_TG-TH_1_Book1_Book1_DT - TAN PHU TAY A " xfId="2955"/>
    <cellStyle name="_TG-TH_1_Book1_Book1_DT - TAN PHU TAY A _1" xfId="2956"/>
    <cellStyle name="_TG-TH_1_Book1_Book1_dt tham tra nha tram bien ap" xfId="2957"/>
    <cellStyle name="_TG-TH_1_Book1_Book1_DU TOAN MAU" xfId="2958"/>
    <cellStyle name="_TG-TH_1_Book1_Book1_DU TOAN MAU_1" xfId="2959"/>
    <cellStyle name="_TG-TH_1_Book1_Book1_KHAO SAT TRA VINH" xfId="2960"/>
    <cellStyle name="_TG-TH_1_Book1_Book1_KHOI LUONG DE CUC BO CAI TAC - THANH DIEN" xfId="2961"/>
    <cellStyle name="_TG-TH_1_Book1_Book1_KHOI LUONG DE CUC BO CAI TAC - THANH DIEN_1" xfId="2962"/>
    <cellStyle name="_TG-TH_1_Book1_Book1_SO TOAN KHOI LUONG DE DAI DIEN" xfId="2963"/>
    <cellStyle name="_TG-TH_1_Book1_Book1_SO TOAN KHOI LUONG DE DAI DIEN_1" xfId="2964"/>
    <cellStyle name="_TG-TH_1_Book1_Book1_Thuyet minh cau vuot" xfId="2965"/>
    <cellStyle name="_TG-TH_1_Book1_Book2" xfId="2966"/>
    <cellStyle name="_TG-TH_1_Book1_Book2_1" xfId="2967"/>
    <cellStyle name="_TG-TH_1_Book1_C CHIN TUYEN" xfId="2968"/>
    <cellStyle name="_TG-TH_1_Book1_Can Tho DINH MUC lao dong 20-09-2004" xfId="2969"/>
    <cellStyle name="_TG-TH_1_Book1_CDC PHU LAC XA HOA LAC" xfId="2970"/>
    <cellStyle name="_TG-TH_1_Book1_congPhuThoAAAAA" xfId="2971"/>
    <cellStyle name="_TG-TH_1_Book1_Copy of CAU CHIN TUYEN" xfId="2972"/>
    <cellStyle name="_TG-TH_1_Book1_CUOC VAN CHUYEN" xfId="2973"/>
    <cellStyle name="_TG-TH_1_Book1_Danglam-CVC-02-2-07-Duong-goi5-Bthuy-MT-TN" xfId="2974"/>
    <cellStyle name="_TG-TH_1_Book1_DanhMucDonGiaVTTB_Dien_TAM" xfId="2975"/>
    <cellStyle name="_TG-TH_1_Book1_DanhMucDonGiaVTTB_Dien_TAM_1" xfId="2976"/>
    <cellStyle name="_TG-TH_1_Book1_DT - TAN PHU TAY A " xfId="2977"/>
    <cellStyle name="_TG-TH_1_Book1_DT - TAN PHU TAY A _1" xfId="2978"/>
    <cellStyle name="_TG-TH_1_Book1_DT CCAU SO 2" xfId="2979"/>
    <cellStyle name="_TG-TH_1_Book1_du toan bo sung TK Krong buk" xfId="2980"/>
    <cellStyle name="_TG-TH_1_Book1_Du toan Mau" xfId="2981"/>
    <cellStyle name="_TG-TH_1_Book1_DU TOAN MAU_1" xfId="2982"/>
    <cellStyle name="_TG-TH_1_Book1_du toan Petro" xfId="2983"/>
    <cellStyle name="_TG-TH_1_Book1_file TDinh" xfId="2984"/>
    <cellStyle name="_TG-TH_1_Book1_GIAO thau  TRUONG MN MUOI TAI" xfId="2985"/>
    <cellStyle name="_TG-TH_1_Book1_GIAO thau  TRUONG MN MUOI TAI_1" xfId="2986"/>
    <cellStyle name="_TG-TH_1_Book1_GIAVLXD092010_1287366083109" xfId="2987"/>
    <cellStyle name="_TG-TH_1_Book1_GT21_ CONG TIEU Þ60" xfId="2988"/>
    <cellStyle name="_TG-TH_1_Book1_GuiChudautu-20-02-07-Thamtra-KDC-Mthan-TrNoc" xfId="2989"/>
    <cellStyle name="_TG-TH_1_Book1_GVL10" xfId="2990"/>
    <cellStyle name="_TG-TH_1_Book1_KENH T11-1 R" xfId="2991"/>
    <cellStyle name="_TG-TH_1_Book1_KENH T11-6(MAU_ISO)" xfId="2992"/>
    <cellStyle name="_TG-TH_1_Book1_KHAO SAT" xfId="2993"/>
    <cellStyle name="_TG-TH_1_Book1_KHAO SAT TRA VINH" xfId="2994"/>
    <cellStyle name="_TG-TH_1_Book1_KHOI LUONG DE CUC BO CAI TAC - THANH DIEN" xfId="2995"/>
    <cellStyle name="_TG-TH_1_Book1_KHOI LUONG DE CUC BO CAI TAC - THANH DIEN_1" xfId="2996"/>
    <cellStyle name="_TG-TH_1_Book1_KS - DE BAO SONG CAI OT" xfId="2997"/>
    <cellStyle name="_TG-TH_1_Book1_KS - DE BAO SONG CAI OT_1" xfId="2998"/>
    <cellStyle name="_TG-TH_1_Book1_KS - DE BAOCAI TAT - THANH DIEN" xfId="2999"/>
    <cellStyle name="_TG-TH_1_Book1_KS - DE BAOCAI TAT - THANH DIEN_1" xfId="3000"/>
    <cellStyle name="_TG-TH_1_Book1_KS - DE LAN NAM_CHO LACH" xfId="3001"/>
    <cellStyle name="_TG-TH_1_Book1_KS - DE LAN NAM_CHO LACH_1" xfId="3002"/>
    <cellStyle name="_TG-TH_1_Book1_KS - DE LAN NAM_CHO LACH_AD" xfId="3003"/>
    <cellStyle name="_TG-TH_1_Book1_KS - DE LAN NAM_CHO LACH_AD_1" xfId="3004"/>
    <cellStyle name="_TG-TH_1_Book1_KS - DE VEN SONG HAM LUONG_DAI DIEN " xfId="3005"/>
    <cellStyle name="_TG-TH_1_Book1_KS - DE VEN SONG HAM LUONG_DAI DIEN _1" xfId="3006"/>
    <cellStyle name="_TG-TH_1_Book1_mauBCC" xfId="3007"/>
    <cellStyle name="_TG-TH_1_Book1_QD so 957" xfId="3008"/>
    <cellStyle name="_TG-TH_1_Book1_SO TOAN KHOI LUONG DE DAI DIEN" xfId="3009"/>
    <cellStyle name="_TG-TH_1_Book1_SO TOAN KHOI LUONG DE DAI DIEN_1" xfId="3010"/>
    <cellStyle name="_TG-TH_1_Book1_th" xfId="3011"/>
    <cellStyle name="_TG-TH_1_Book1_THDT" xfId="3012"/>
    <cellStyle name="_TG-TH_1_Book1_THDTGOI 21" xfId="3013"/>
    <cellStyle name="_TG-TH_1_Book1_THONG KE THEP" xfId="3014"/>
    <cellStyle name="_TG-TH_1_Book1_TIEU HOC A MY LUONG KHOI 2" xfId="3015"/>
    <cellStyle name="_TG-TH_1_Book1_TKHC-THOIQUAN-05-04-2004" xfId="3016"/>
    <cellStyle name="_TG-TH_1_Book1_TKHC-THOIQUAN-05-04-2004_1" xfId="3017"/>
    <cellStyle name="_TG-TH_1_Book1_TONG DU TOAN VINH LONG-PA1" xfId="3018"/>
    <cellStyle name="_TG-TH_1_Book1_TTXLNT-TTKYT-TONG THE" xfId="3019"/>
    <cellStyle name="_TG-TH_1_Book1_XL4Poppy" xfId="3020"/>
    <cellStyle name="_TG-TH_1_Book1_XL4Poppy_1" xfId="3021"/>
    <cellStyle name="_TG-TH_1_Book1_XL4Poppy_ks-diachaât caàu" xfId="3022"/>
    <cellStyle name="_TG-TH_1_Book1_XL4Poppy_ks-diachaât caàu_1" xfId="3023"/>
    <cellStyle name="_TG-TH_1_Book1_XL4Test5" xfId="3024"/>
    <cellStyle name="_TG-TH_1_Book1_XL4Test5_1" xfId="3025"/>
    <cellStyle name="_TG-TH_1_Book1_XL4Test5_ks-diachaât caàu" xfId="3026"/>
    <cellStyle name="_TG-TH_1_Book1_XL4Test5_ks-diachaât caàu_1" xfId="3027"/>
    <cellStyle name="_TG-TH_1_Book2" xfId="3028"/>
    <cellStyle name="_TG-TH_1_Book2_1" xfId="3029"/>
    <cellStyle name="_TG-TH_1_C CHIN TUYEN" xfId="3030"/>
    <cellStyle name="_TG-TH_1_Can Tho DINH MUC lao dong 20-09-2004" xfId="3031"/>
    <cellStyle name="_TG-TH_1_CDC PHU LAC XA HOA LAC" xfId="3032"/>
    <cellStyle name="_TG-TH_1_CONG 1.5.xls" xfId="3033"/>
    <cellStyle name="_TG-TH_1_Cong K2+190" xfId="3034"/>
    <cellStyle name="_TG-TH_1_Cong K2+190 ( cuoi )" xfId="3035"/>
    <cellStyle name="_TG-TH_1_CONG KENH 12" xfId="3036"/>
    <cellStyle name="_TG-TH_1_Copy of CAU CHIN TUYEN" xfId="3037"/>
    <cellStyle name="_TG-TH_1_Danglam-CVC-02-2-07-Duong-goi5-Bthuy-MT-TN" xfId="3038"/>
    <cellStyle name="_TG-TH_1_Dcdtoan-bcnckt " xfId="3039"/>
    <cellStyle name="_TG-TH_1_Dcdtoan-bcnckt _1" xfId="3040"/>
    <cellStyle name="_TG-TH_1_Dcdtoan-bcnckt _XL4Poppy" xfId="3041"/>
    <cellStyle name="_TG-TH_1_Dcdtoan-bcnckt _XL4Poppy_1" xfId="3042"/>
    <cellStyle name="_TG-TH_1_Dcdtoan-bcnckt _XL4Test5" xfId="3043"/>
    <cellStyle name="_TG-TH_1_Dcdtoan-bcnckt _XL4Test5_1" xfId="3044"/>
    <cellStyle name="_TG-TH_1_Dongia2-2003" xfId="3045"/>
    <cellStyle name="_TG-TH_1_Dongia2-2003_1" xfId="3046"/>
    <cellStyle name="_TG-TH_1_DT - TAN PHU TAY A " xfId="3047"/>
    <cellStyle name="_TG-TH_1_DT - TAN PHU TAY A _1" xfId="3048"/>
    <cellStyle name="_TG-TH_1_DT CCAU SO 2" xfId="3049"/>
    <cellStyle name="_TG-TH_1_DT Cong 2PHI 100 BONAM KENH XA NU" xfId="3050"/>
    <cellStyle name="_TG-TH_1_DT CONG BA CHUA (-1.5)" xfId="3051"/>
    <cellStyle name="_TG-TH_1_dt tham tra nha tram bien ap" xfId="3052"/>
    <cellStyle name="_TG-TH_1_DTCDT MR.2N110.HOCMON.TDTOAN.CCUNG" xfId="3053"/>
    <cellStyle name="_TG-TH_1_DTCDT MR.2N110.HOCMON.TDTOAN.CCUNG_1" xfId="3054"/>
    <cellStyle name="_TG-TH_1_Du phong Cong Tha La" xfId="3055"/>
    <cellStyle name="_TG-TH_1_Du toan Mau" xfId="3056"/>
    <cellStyle name="_TG-TH_1_DU TOAN MAU_1" xfId="3057"/>
    <cellStyle name="_TG-TH_1_du toan Petro" xfId="3058"/>
    <cellStyle name="_TG-TH_1_file TDinh" xfId="3059"/>
    <cellStyle name="_TG-TH_1_Giai Doan 3 Hong Ngu" xfId="3060"/>
    <cellStyle name="_TG-TH_1_Giai Doan 3 Hong Ngu_1" xfId="3061"/>
    <cellStyle name="_TG-TH_1_GIAVLXD092010_1287366083109" xfId="3062"/>
    <cellStyle name="_TG-TH_1_GT21_ CONG TIEU Þ60" xfId="3063"/>
    <cellStyle name="_TG-TH_1_GuiChudautu-20-02-07-Thamtra-KDC-Mthan-TrNoc" xfId="3064"/>
    <cellStyle name="_TG-TH_1_GVL4" xfId="3065"/>
    <cellStyle name="_TG-TH_1_GVL4_1" xfId="3066"/>
    <cellStyle name="_TG-TH_1_GVLmoi" xfId="3067"/>
    <cellStyle name="_TG-TH_1_k2+700" xfId="3068"/>
    <cellStyle name="_TG-TH_1_KE LUONG THUC" xfId="3069"/>
    <cellStyle name="_TG-TH_1_KE LUONG THUC111" xfId="3070"/>
    <cellStyle name="_TG-TH_1_Ke met wa" xfId="3071"/>
    <cellStyle name="_TG-TH_1_KE THA LA" xfId="3072"/>
    <cellStyle name="_TG-TH_1_KHAO SAT" xfId="3073"/>
    <cellStyle name="_TG-TH_1_khao sat Du an" xfId="3074"/>
    <cellStyle name="_TG-TH_1_KHAO SAT TRA VINH" xfId="3075"/>
    <cellStyle name="_TG-TH_1_KHIN PHI KENH T6" xfId="3076"/>
    <cellStyle name="_TG-TH_1_KHOI LUONG DE CUC BO CAI TAC - THANH DIEN" xfId="3077"/>
    <cellStyle name="_TG-TH_1_KHOI LUONG DE CUC BO CAI TAC - THANH DIEN_1" xfId="3078"/>
    <cellStyle name="_TG-TH_1_KLKS TK-8 cong kenh hau" xfId="3079"/>
    <cellStyle name="_TG-TH_1_KS - DE BAO SONG CAI OT" xfId="3080"/>
    <cellStyle name="_TG-TH_1_KS - DE BAO SONG CAI OT_1" xfId="3081"/>
    <cellStyle name="_TG-TH_1_KS - DE BAOCAI TAT - THANH DIEN" xfId="3082"/>
    <cellStyle name="_TG-TH_1_KS - DE BAOCAI TAT - THANH DIEN_1" xfId="3083"/>
    <cellStyle name="_TG-TH_1_KS - DE LAN NAM_CHO LACH" xfId="3084"/>
    <cellStyle name="_TG-TH_1_KS - DE LAN NAM_CHO LACH_1" xfId="3085"/>
    <cellStyle name="_TG-TH_1_KS - DE LAN NAM_CHO LACH_AD" xfId="3086"/>
    <cellStyle name="_TG-TH_1_KS - DE LAN NAM_CHO LACH_AD_1" xfId="3087"/>
    <cellStyle name="_TG-TH_1_KS - DE VEN SONG HAM LUONG_DAI DIEN " xfId="3088"/>
    <cellStyle name="_TG-TH_1_KS - DE VEN SONG HAM LUONG_DAI DIEN _1" xfId="3089"/>
    <cellStyle name="_TG-TH_1_Lora-tungchau" xfId="3090"/>
    <cellStyle name="_TG-TH_1_Lora-tungchau_1" xfId="3091"/>
    <cellStyle name="_TG-TH_1_mauBCC" xfId="3092"/>
    <cellStyle name="_TG-TH_1_moi" xfId="3093"/>
    <cellStyle name="_TG-TH_1_moi_1" xfId="3094"/>
    <cellStyle name="_TG-TH_1_moi_XL4Poppy" xfId="3095"/>
    <cellStyle name="_TG-TH_1_moi_XL4Poppy_1" xfId="3096"/>
    <cellStyle name="_TG-TH_1_moi_XL4Test5" xfId="3097"/>
    <cellStyle name="_TG-TH_1_moi_XL4Test5_1" xfId="3098"/>
    <cellStyle name="_TG-TH_1_PGIA-phieu tham tra Kho bac" xfId="3099"/>
    <cellStyle name="_TG-TH_1_PGIA-phieu tham tra Kho bac_1" xfId="3100"/>
    <cellStyle name="_TG-TH_1_PT02-02" xfId="3101"/>
    <cellStyle name="_TG-TH_1_PT02-02_1" xfId="3102"/>
    <cellStyle name="_TG-TH_1_PT02-02_Book1" xfId="3103"/>
    <cellStyle name="_TG-TH_1_PT02-02_Book1_1" xfId="3104"/>
    <cellStyle name="_TG-TH_1_PT02-03" xfId="3105"/>
    <cellStyle name="_TG-TH_1_PT02-03_1" xfId="3106"/>
    <cellStyle name="_TG-TH_1_PT02-03_Book1" xfId="3107"/>
    <cellStyle name="_TG-TH_1_PT02-03_Book1_1" xfId="3108"/>
    <cellStyle name="_TG-TH_1_QD so 957" xfId="3109"/>
    <cellStyle name="_TG-TH_1_QT TINH UNG 2002" xfId="3110"/>
    <cellStyle name="_TG-TH_1_Qt-HT3PQ1(CauKho)" xfId="3111"/>
    <cellStyle name="_TG-TH_1_Qt-HT3PQ1(CauKho)_1" xfId="3112"/>
    <cellStyle name="_TG-TH_1_Qt-HT3PQ1(CauKho)_Don gia quy 3 nam 2003 - Ban Dien Luc" xfId="3113"/>
    <cellStyle name="_TG-TH_1_Qt-HT3PQ1(CauKho)_Don gia quy 3 nam 2003 - Ban Dien Luc_1" xfId="3114"/>
    <cellStyle name="_TG-TH_1_Qt-HT3PQ1(CauKho)_ks-diachaât caàu" xfId="3115"/>
    <cellStyle name="_TG-TH_1_Qt-HT3PQ1(CauKho)_ks-diachaât caàu_1" xfId="3116"/>
    <cellStyle name="_TG-TH_1_Qt-HT3PQ1(CauKho)_NC-VL2-2003" xfId="3117"/>
    <cellStyle name="_TG-TH_1_Qt-HT3PQ1(CauKho)_NC-VL2-2003_1" xfId="3118"/>
    <cellStyle name="_TG-TH_1_Qt-HT3PQ1(CauKho)_NC-VL2-2003_1_1" xfId="3119"/>
    <cellStyle name="_TG-TH_1_Qt-HT3PQ1(CauKho)_NC-VL2-2003_1_1_1" xfId="3120"/>
    <cellStyle name="_TG-TH_1_Qt-HT3PQ1(CauKho)_XL4Test5" xfId="3121"/>
    <cellStyle name="_TG-TH_1_Qt-HT3PQ1(CauKho)_XL4Test5_1" xfId="3122"/>
    <cellStyle name="_TG-TH_1_Qt-HT3PQ1(CauKho)_XL4Test5_1_1" xfId="3123"/>
    <cellStyle name="_TG-TH_1_Qt-HT3PQ1(CauKho)_XL4Test5_1_1_1" xfId="3124"/>
    <cellStyle name="_TG-TH_1_Sheet2" xfId="3125"/>
    <cellStyle name="_TG-TH_1_Sheet2_1" xfId="3126"/>
    <cellStyle name="_TG-TH_1_SO TOAN KHOI LUONG DE DAI DIEN" xfId="3127"/>
    <cellStyle name="_TG-TH_1_SO TOAN KHOI LUONG DE DAI DIEN_1" xfId="3128"/>
    <cellStyle name="_TG-TH_1_STKL KE BAC LIEU" xfId="3129"/>
    <cellStyle name="_TG-TH_1_STKL NGACAITRONG" xfId="3130"/>
    <cellStyle name="_TG-TH_1_th" xfId="3131"/>
    <cellStyle name="_TG-TH_1_THDT" xfId="3132"/>
    <cellStyle name="_TG-TH_1_THDT PHUOC LONG PA1(T6)" xfId="3133"/>
    <cellStyle name="_TG-TH_1_THDT_1" xfId="3134"/>
    <cellStyle name="_TG-TH_1_THONG KE THEP" xfId="3135"/>
    <cellStyle name="_TG-TH_1_TKHC-THOIQUAN-05-04-2004" xfId="3136"/>
    <cellStyle name="_TG-TH_1_TKHC-THOIQUAN-05-04-2004_1" xfId="3137"/>
    <cellStyle name="_TG-TH_1_TMDT 4 GOI" xfId="3138"/>
    <cellStyle name="_TG-TH_1_TMDT GOI 2 BO BAC (tinh cp lai du phong)" xfId="3139"/>
    <cellStyle name="_TG-TH_1_TMDT22" xfId="3140"/>
    <cellStyle name="_TG-TH_1_TMDTPA1" xfId="3141"/>
    <cellStyle name="_TG-TH_1_TONG DU TOAN" xfId="3142"/>
    <cellStyle name="_TG-TH_1_TONG MUC DAU TU DC" xfId="3143"/>
    <cellStyle name="_TG-TH_1_XL4Poppy" xfId="3144"/>
    <cellStyle name="_TG-TH_1_XL4Poppy_1" xfId="3145"/>
    <cellStyle name="_TG-TH_1_XL4Poppy_XL4Test5" xfId="3146"/>
    <cellStyle name="_TG-TH_1_XL4Poppy_XL4Test5_1" xfId="3147"/>
    <cellStyle name="_TG-TH_1_XL4Test5" xfId="3148"/>
    <cellStyle name="_TG-TH_1_XL4Test5_1" xfId="3149"/>
    <cellStyle name="_TG-TH_2" xfId="3150"/>
    <cellStyle name="_TG-TH_2_1" xfId="3151"/>
    <cellStyle name="_TG-TH_2_2.DT_CONG_MY SON DONG_ DC SAU THAM DINH" xfId="3152"/>
    <cellStyle name="_TG-TH_2_2.DT_CONG_MY SON DONG_ DC SAU THAM DINH_1" xfId="3153"/>
    <cellStyle name="_TG-TH_2_BAO CAO KLCT PT2000" xfId="3154"/>
    <cellStyle name="_TG-TH_2_BAO CAO KLCT PT2000_1" xfId="3155"/>
    <cellStyle name="_TG-TH_2_BAO CAO PT2000" xfId="3156"/>
    <cellStyle name="_TG-TH_2_BAO CAO PT2000_1" xfId="3157"/>
    <cellStyle name="_TG-TH_2_BAO CAO PT2000_Book1" xfId="3158"/>
    <cellStyle name="_TG-TH_2_BAO CAO PT2000_Book1_1" xfId="3159"/>
    <cellStyle name="_TG-TH_2_BAO CAO PT2000_Book1_ks-diachaât caàu" xfId="3160"/>
    <cellStyle name="_TG-TH_2_BAO CAO PT2000_Book1_ks-diachaât caàu_1" xfId="3161"/>
    <cellStyle name="_TG-TH_2_Bao cao XDCB 2001 - T11 KH dieu chinh 20-11-THAI" xfId="3162"/>
    <cellStyle name="_TG-TH_2_Bao cao XDCB 2001 - T11 KH dieu chinh 20-11-THAI_1" xfId="3163"/>
    <cellStyle name="_TG-TH_2_Book1" xfId="3164"/>
    <cellStyle name="_TG-TH_2_Book1_1" xfId="3165"/>
    <cellStyle name="_TG-TH_2_Book1_1 DTKS Quoi Thien" xfId="3166"/>
    <cellStyle name="_TG-TH_2_Book1_1_1" xfId="3167"/>
    <cellStyle name="_TG-TH_2_Book1_1_1_1" xfId="3168"/>
    <cellStyle name="_TG-TH_2_Book1_1_Book1" xfId="3169"/>
    <cellStyle name="_TG-TH_2_Book1_1_Book1_1" xfId="3170"/>
    <cellStyle name="_TG-TH_2_Book1_1_Book1_Book1" xfId="3171"/>
    <cellStyle name="_TG-TH_2_Book1_1_Book1_dt tham tra nha tram bien ap" xfId="3172"/>
    <cellStyle name="_TG-TH_2_Book1_1_Book1_KHAO SAT TRA VINH" xfId="3173"/>
    <cellStyle name="_TG-TH_2_Book1_1_Can Tho DINH MUC lao dong 20-09-2004" xfId="3174"/>
    <cellStyle name="_TG-TH_2_Book1_1_CDC PHU LAC XA HOA LAC" xfId="3175"/>
    <cellStyle name="_TG-TH_2_Book1_1_congPhuThoAAAAA" xfId="3176"/>
    <cellStyle name="_TG-TH_2_Book1_1_Danglam-CVC-02-2-07-Duong-goi5-Bthuy-MT-TN" xfId="3177"/>
    <cellStyle name="_TG-TH_2_Book1_1_DanhMucDonGiaVTTB_Dien_TAM" xfId="3178"/>
    <cellStyle name="_TG-TH_2_Book1_1_DanhMucDonGiaVTTB_Dien_TAM_1" xfId="3179"/>
    <cellStyle name="_TG-TH_2_Book1_1_du toan Petro" xfId="3180"/>
    <cellStyle name="_TG-TH_2_Book1_1_file TDinh" xfId="3181"/>
    <cellStyle name="_TG-TH_2_Book1_1_GIAVLXD092010_1287366083109" xfId="3182"/>
    <cellStyle name="_TG-TH_2_Book1_1_GuiChudautu-20-02-07-Thamtra-KDC-Mthan-TrNoc" xfId="3183"/>
    <cellStyle name="_TG-TH_2_Book1_1_QD so 957" xfId="3184"/>
    <cellStyle name="_TG-TH_2_Book1_2" xfId="3185"/>
    <cellStyle name="_TG-TH_2_Book1_2.DT_CONG_MY SON DONG_ DC SAU THAM DINH" xfId="3186"/>
    <cellStyle name="_TG-TH_2_Book1_2.DT_CONG_MY SON DONG_ DC SAU THAM DINH_1" xfId="3187"/>
    <cellStyle name="_TG-TH_2_Book1_2_1" xfId="3188"/>
    <cellStyle name="_TG-TH_2_Book1_2_Book1" xfId="3189"/>
    <cellStyle name="_TG-TH_2_Book1_2_Book1_cu xeo chac dc theo Nien" xfId="3190"/>
    <cellStyle name="_TG-TH_2_Book1_2_congPhuThoAAAAA" xfId="3191"/>
    <cellStyle name="_TG-TH_2_Book1_2_cu xeo chac dc theo Nien" xfId="3192"/>
    <cellStyle name="_TG-TH_2_Book1_2_dt tham tra nha tram bien ap" xfId="3193"/>
    <cellStyle name="_TG-TH_2_Book1_2_KHAO SAT TRA VINH" xfId="3194"/>
    <cellStyle name="_TG-TH_2_Book1_2_Thuyet minh cau vuot" xfId="3195"/>
    <cellStyle name="_TG-TH_2_Book1_3" xfId="3196"/>
    <cellStyle name="_TG-TH_2_Book1_3_1" xfId="3197"/>
    <cellStyle name="_TG-TH_2_Book1_3_Book1" xfId="3198"/>
    <cellStyle name="_TG-TH_2_Book1_3_Book1_cu xeo chac dc theo Nien" xfId="3199"/>
    <cellStyle name="_TG-TH_2_Book1_3_cu xeo chac dc theo Nien" xfId="3200"/>
    <cellStyle name="_TG-TH_2_Book1_3_dt tham tra nha tram bien ap" xfId="3201"/>
    <cellStyle name="_TG-TH_2_Book1_3_KHAO SAT TRA VINH" xfId="3202"/>
    <cellStyle name="_TG-TH_2_Book1_3_Thuyet minh cau vuot" xfId="3203"/>
    <cellStyle name="_TG-TH_2_Book1_4" xfId="3204"/>
    <cellStyle name="_TG-TH_2_Book1_4 CHI PHI CAM MOC GPMB" xfId="3205"/>
    <cellStyle name="_TG-TH_2_Book1_4_1" xfId="3206"/>
    <cellStyle name="_TG-TH_2_Book1_5" xfId="3207"/>
    <cellStyle name="_TG-TH_2_Book1_Book1" xfId="3208"/>
    <cellStyle name="_TG-TH_2_Book1_Book1_1" xfId="3209"/>
    <cellStyle name="_TG-TH_2_Book1_Book1_1_1" xfId="3210"/>
    <cellStyle name="_TG-TH_2_Book1_Book1_1_1_1" xfId="3211"/>
    <cellStyle name="_TG-TH_2_Book1_Book1_1_Book1" xfId="3212"/>
    <cellStyle name="_TG-TH_2_Book1_Book1_1_dt tham tra nha tram bien ap" xfId="3213"/>
    <cellStyle name="_TG-TH_2_Book1_Book1_1_KHAO SAT TRA VINH" xfId="3214"/>
    <cellStyle name="_TG-TH_2_Book1_Book1_2" xfId="3215"/>
    <cellStyle name="_TG-TH_2_Book1_Book1_2.DT_CONG_MY SON DONG_ DC SAU THAM DINH" xfId="3216"/>
    <cellStyle name="_TG-TH_2_Book1_Book1_2.DT_CONG_MY SON DONG_ DC SAU THAM DINH_1" xfId="3217"/>
    <cellStyle name="_TG-TH_2_Book1_Book1_Book1" xfId="3218"/>
    <cellStyle name="_TG-TH_2_Book1_Book1_Book1_cu xeo chac dc theo Nien" xfId="3219"/>
    <cellStyle name="_TG-TH_2_Book1_Book1_CDC PHU LAC XA HOA LAC" xfId="3220"/>
    <cellStyle name="_TG-TH_2_Book1_Book1_congPhuThoAAAAA" xfId="3221"/>
    <cellStyle name="_TG-TH_2_Book1_Book1_cu xeo chac dc theo Nien" xfId="3222"/>
    <cellStyle name="_TG-TH_2_Book1_Book1_DT - TAN PHU TAY A " xfId="3223"/>
    <cellStyle name="_TG-TH_2_Book1_Book1_DT - TAN PHU TAY A _1" xfId="3224"/>
    <cellStyle name="_TG-TH_2_Book1_Book1_dt tham tra nha tram bien ap" xfId="3225"/>
    <cellStyle name="_TG-TH_2_Book1_Book1_DU TOAN MAU" xfId="3226"/>
    <cellStyle name="_TG-TH_2_Book1_Book1_DU TOAN MAU_1" xfId="3227"/>
    <cellStyle name="_TG-TH_2_Book1_Book1_KHAO SAT TRA VINH" xfId="3228"/>
    <cellStyle name="_TG-TH_2_Book1_Book1_KHOI LUONG DE CUC BO CAI TAC - THANH DIEN" xfId="3229"/>
    <cellStyle name="_TG-TH_2_Book1_Book1_KHOI LUONG DE CUC BO CAI TAC - THANH DIEN_1" xfId="3230"/>
    <cellStyle name="_TG-TH_2_Book1_Book1_SO TOAN KHOI LUONG DE DAI DIEN" xfId="3231"/>
    <cellStyle name="_TG-TH_2_Book1_Book1_SO TOAN KHOI LUONG DE DAI DIEN_1" xfId="3232"/>
    <cellStyle name="_TG-TH_2_Book1_Book1_Thuyet minh cau vuot" xfId="3233"/>
    <cellStyle name="_TG-TH_2_Book1_Book2" xfId="3234"/>
    <cellStyle name="_TG-TH_2_Book1_Book2_1" xfId="3235"/>
    <cellStyle name="_TG-TH_2_Book1_C CHIN TUYEN" xfId="3236"/>
    <cellStyle name="_TG-TH_2_Book1_Can Tho DINH MUC lao dong 20-09-2004" xfId="3237"/>
    <cellStyle name="_TG-TH_2_Book1_CDC PHU LAC XA HOA LAC" xfId="3238"/>
    <cellStyle name="_TG-TH_2_Book1_congPhuThoAAAAA" xfId="3239"/>
    <cellStyle name="_TG-TH_2_Book1_Copy of CAU CHIN TUYEN" xfId="3240"/>
    <cellStyle name="_TG-TH_2_Book1_CUOC VAN CHUYEN" xfId="3241"/>
    <cellStyle name="_TG-TH_2_Book1_Danglam-CVC-02-2-07-Duong-goi5-Bthuy-MT-TN" xfId="3242"/>
    <cellStyle name="_TG-TH_2_Book1_DanhMucDonGiaVTTB_Dien_TAM" xfId="3243"/>
    <cellStyle name="_TG-TH_2_Book1_DanhMucDonGiaVTTB_Dien_TAM_1" xfId="3244"/>
    <cellStyle name="_TG-TH_2_Book1_DT - TAN PHU TAY A " xfId="3245"/>
    <cellStyle name="_TG-TH_2_Book1_DT - TAN PHU TAY A _1" xfId="3246"/>
    <cellStyle name="_TG-TH_2_Book1_DT CCAU SO 2" xfId="3247"/>
    <cellStyle name="_TG-TH_2_Book1_du toan bo sung TK Krong buk" xfId="3248"/>
    <cellStyle name="_TG-TH_2_Book1_Du toan Mau" xfId="3249"/>
    <cellStyle name="_TG-TH_2_Book1_DU TOAN MAU_1" xfId="3250"/>
    <cellStyle name="_TG-TH_2_Book1_du toan Petro" xfId="3251"/>
    <cellStyle name="_TG-TH_2_Book1_file TDinh" xfId="3252"/>
    <cellStyle name="_TG-TH_2_Book1_GIAO thau  TRUONG MN MUOI TAI" xfId="3253"/>
    <cellStyle name="_TG-TH_2_Book1_GIAO thau  TRUONG MN MUOI TAI_1" xfId="3254"/>
    <cellStyle name="_TG-TH_2_Book1_GIAVLXD092010_1287366083109" xfId="3255"/>
    <cellStyle name="_TG-TH_2_Book1_GT21_ CONG TIEU Þ60" xfId="3256"/>
    <cellStyle name="_TG-TH_2_Book1_GuiChudautu-20-02-07-Thamtra-KDC-Mthan-TrNoc" xfId="3257"/>
    <cellStyle name="_TG-TH_2_Book1_GVL10" xfId="3258"/>
    <cellStyle name="_TG-TH_2_Book1_KENH T11-1 R" xfId="3259"/>
    <cellStyle name="_TG-TH_2_Book1_KENH T11-6(MAU_ISO)" xfId="3260"/>
    <cellStyle name="_TG-TH_2_Book1_KHAO SAT" xfId="3261"/>
    <cellStyle name="_TG-TH_2_Book1_KHAO SAT TRA VINH" xfId="3262"/>
    <cellStyle name="_TG-TH_2_Book1_KHOI LUONG DE CUC BO CAI TAC - THANH DIEN" xfId="3263"/>
    <cellStyle name="_TG-TH_2_Book1_KHOI LUONG DE CUC BO CAI TAC - THANH DIEN_1" xfId="3264"/>
    <cellStyle name="_TG-TH_2_Book1_KS - DE BAO SONG CAI OT" xfId="3265"/>
    <cellStyle name="_TG-TH_2_Book1_KS - DE BAO SONG CAI OT_1" xfId="3266"/>
    <cellStyle name="_TG-TH_2_Book1_KS - DE BAOCAI TAT - THANH DIEN" xfId="3267"/>
    <cellStyle name="_TG-TH_2_Book1_KS - DE BAOCAI TAT - THANH DIEN_1" xfId="3268"/>
    <cellStyle name="_TG-TH_2_Book1_KS - DE LAN NAM_CHO LACH" xfId="3269"/>
    <cellStyle name="_TG-TH_2_Book1_KS - DE LAN NAM_CHO LACH_1" xfId="3270"/>
    <cellStyle name="_TG-TH_2_Book1_KS - DE LAN NAM_CHO LACH_AD" xfId="3271"/>
    <cellStyle name="_TG-TH_2_Book1_KS - DE LAN NAM_CHO LACH_AD_1" xfId="3272"/>
    <cellStyle name="_TG-TH_2_Book1_KS - DE VEN SONG HAM LUONG_DAI DIEN " xfId="3273"/>
    <cellStyle name="_TG-TH_2_Book1_KS - DE VEN SONG HAM LUONG_DAI DIEN _1" xfId="3274"/>
    <cellStyle name="_TG-TH_2_Book1_mauBCC" xfId="3275"/>
    <cellStyle name="_TG-TH_2_Book1_QD so 957" xfId="3276"/>
    <cellStyle name="_TG-TH_2_Book1_SO TOAN KHOI LUONG DE DAI DIEN" xfId="3277"/>
    <cellStyle name="_TG-TH_2_Book1_SO TOAN KHOI LUONG DE DAI DIEN_1" xfId="3278"/>
    <cellStyle name="_TG-TH_2_Book1_th" xfId="3279"/>
    <cellStyle name="_TG-TH_2_Book1_THDT" xfId="3280"/>
    <cellStyle name="_TG-TH_2_Book1_THDTGOI 21" xfId="3281"/>
    <cellStyle name="_TG-TH_2_Book1_THONG KE THEP" xfId="3282"/>
    <cellStyle name="_TG-TH_2_Book1_TIEU HOC A MY LUONG KHOI 2" xfId="3283"/>
    <cellStyle name="_TG-TH_2_Book1_TKHC-THOIQUAN-05-04-2004" xfId="3284"/>
    <cellStyle name="_TG-TH_2_Book1_TKHC-THOIQUAN-05-04-2004_1" xfId="3285"/>
    <cellStyle name="_TG-TH_2_Book1_TONG DU TOAN VINH LONG-PA1" xfId="3286"/>
    <cellStyle name="_TG-TH_2_Book1_TTXLNT-TTKYT-TONG THE" xfId="3287"/>
    <cellStyle name="_TG-TH_2_Book1_XL4Poppy" xfId="3288"/>
    <cellStyle name="_TG-TH_2_Book1_XL4Poppy_1" xfId="3289"/>
    <cellStyle name="_TG-TH_2_Book1_XL4Test5" xfId="3290"/>
    <cellStyle name="_TG-TH_2_Book1_XL4Test5_1" xfId="3291"/>
    <cellStyle name="_TG-TH_2_Book2" xfId="3292"/>
    <cellStyle name="_TG-TH_2_Book2_1" xfId="3293"/>
    <cellStyle name="_TG-TH_2_C CHIN TUYEN" xfId="3294"/>
    <cellStyle name="_TG-TH_2_Can Tho DINH MUC lao dong 20-09-2004" xfId="3295"/>
    <cellStyle name="_TG-TH_2_CDC PHU LAC XA HOA LAC" xfId="3296"/>
    <cellStyle name="_TG-TH_2_CONG 1.5.xls" xfId="3297"/>
    <cellStyle name="_TG-TH_2_Cong K2+190" xfId="3298"/>
    <cellStyle name="_TG-TH_2_Cong K2+190 ( cuoi )" xfId="3299"/>
    <cellStyle name="_TG-TH_2_CONG KENH 12" xfId="3300"/>
    <cellStyle name="_TG-TH_2_Copy of CAU CHIN TUYEN" xfId="3301"/>
    <cellStyle name="_TG-TH_2_Danglam-CVC-02-2-07-Duong-goi5-Bthuy-MT-TN" xfId="3302"/>
    <cellStyle name="_TG-TH_2_Dcdtoan-bcnckt " xfId="3303"/>
    <cellStyle name="_TG-TH_2_Dcdtoan-bcnckt _1" xfId="3304"/>
    <cellStyle name="_TG-TH_2_Dcdtoan-bcnckt _XL4Poppy" xfId="3305"/>
    <cellStyle name="_TG-TH_2_Dcdtoan-bcnckt _XL4Poppy_1" xfId="3306"/>
    <cellStyle name="_TG-TH_2_Dcdtoan-bcnckt _XL4Test5" xfId="3307"/>
    <cellStyle name="_TG-TH_2_Dcdtoan-bcnckt _XL4Test5_1" xfId="3308"/>
    <cellStyle name="_TG-TH_2_Dongia2-2003" xfId="3309"/>
    <cellStyle name="_TG-TH_2_Dongia2-2003_1" xfId="3310"/>
    <cellStyle name="_TG-TH_2_DT - TAN PHU TAY A " xfId="3311"/>
    <cellStyle name="_TG-TH_2_DT - TAN PHU TAY A _1" xfId="3312"/>
    <cellStyle name="_TG-TH_2_DT CCAU SO 2" xfId="3313"/>
    <cellStyle name="_TG-TH_2_DT Cong 2PHI 100 BONAM KENH XA NU" xfId="3314"/>
    <cellStyle name="_TG-TH_2_DT CONG BA CHUA (-1.5)" xfId="3315"/>
    <cellStyle name="_TG-TH_2_dt tham tra nha tram bien ap" xfId="3316"/>
    <cellStyle name="_TG-TH_2_DTCDT MR.2N110.HOCMON.TDTOAN.CCUNG" xfId="3317"/>
    <cellStyle name="_TG-TH_2_DTCDT MR.2N110.HOCMON.TDTOAN.CCUNG_1" xfId="3318"/>
    <cellStyle name="_TG-TH_2_DTCDT MR.2N110.HOCMON.TDTOAN.CCUNG_ks-diachaât caàu" xfId="3319"/>
    <cellStyle name="_TG-TH_2_DTCDT MR.2N110.HOCMON.TDTOAN.CCUNG_ks-diachaât caàu_1" xfId="3320"/>
    <cellStyle name="_TG-TH_2_Du phong Cong Tha La" xfId="3321"/>
    <cellStyle name="_TG-TH_2_Du toan Mau" xfId="3322"/>
    <cellStyle name="_TG-TH_2_DU TOAN MAU_1" xfId="3323"/>
    <cellStyle name="_TG-TH_2_du toan Petro" xfId="3324"/>
    <cellStyle name="_TG-TH_2_file TDinh" xfId="3325"/>
    <cellStyle name="_TG-TH_2_Giai Doan 3 Hong Ngu" xfId="3326"/>
    <cellStyle name="_TG-TH_2_Giai Doan 3 Hong Ngu_1" xfId="3327"/>
    <cellStyle name="_TG-TH_2_GIAVLXD092010_1287366083109" xfId="3328"/>
    <cellStyle name="_TG-TH_2_GT21_ CONG TIEU Þ60" xfId="3329"/>
    <cellStyle name="_TG-TH_2_GuiChudautu-20-02-07-Thamtra-KDC-Mthan-TrNoc" xfId="3330"/>
    <cellStyle name="_TG-TH_2_GVL4" xfId="3331"/>
    <cellStyle name="_TG-TH_2_GVL4_1" xfId="3332"/>
    <cellStyle name="_TG-TH_2_GVLmoi" xfId="3333"/>
    <cellStyle name="_TG-TH_2_k2+700" xfId="3334"/>
    <cellStyle name="_TG-TH_2_KE LUONG THUC" xfId="3335"/>
    <cellStyle name="_TG-TH_2_KE LUONG THUC111" xfId="3336"/>
    <cellStyle name="_TG-TH_2_Ke met wa" xfId="3337"/>
    <cellStyle name="_TG-TH_2_KE THA LA" xfId="3338"/>
    <cellStyle name="_TG-TH_2_KHAO SAT" xfId="3339"/>
    <cellStyle name="_TG-TH_2_khao sat Du an" xfId="3340"/>
    <cellStyle name="_TG-TH_2_KHAO SAT TRA VINH" xfId="3341"/>
    <cellStyle name="_TG-TH_2_KHIN PHI KENH T6" xfId="3342"/>
    <cellStyle name="_TG-TH_2_KHOI LUONG DE CUC BO CAI TAC - THANH DIEN" xfId="3343"/>
    <cellStyle name="_TG-TH_2_KHOI LUONG DE CUC BO CAI TAC - THANH DIEN_1" xfId="3344"/>
    <cellStyle name="_TG-TH_2_KLKS TK-8 cong kenh hau" xfId="3345"/>
    <cellStyle name="_TG-TH_2_KS - DE BAO SONG CAI OT" xfId="3346"/>
    <cellStyle name="_TG-TH_2_KS - DE BAO SONG CAI OT_1" xfId="3347"/>
    <cellStyle name="_TG-TH_2_KS - DE BAOCAI TAT - THANH DIEN" xfId="3348"/>
    <cellStyle name="_TG-TH_2_KS - DE BAOCAI TAT - THANH DIEN_1" xfId="3349"/>
    <cellStyle name="_TG-TH_2_KS - DE LAN NAM_CHO LACH" xfId="3350"/>
    <cellStyle name="_TG-TH_2_KS - DE LAN NAM_CHO LACH_1" xfId="3351"/>
    <cellStyle name="_TG-TH_2_KS - DE LAN NAM_CHO LACH_AD" xfId="3352"/>
    <cellStyle name="_TG-TH_2_KS - DE LAN NAM_CHO LACH_AD_1" xfId="3353"/>
    <cellStyle name="_TG-TH_2_KS - DE VEN SONG HAM LUONG_DAI DIEN " xfId="3354"/>
    <cellStyle name="_TG-TH_2_KS - DE VEN SONG HAM LUONG_DAI DIEN _1" xfId="3355"/>
    <cellStyle name="_TG-TH_2_Lora-tungchau" xfId="3356"/>
    <cellStyle name="_TG-TH_2_Lora-tungchau_1" xfId="3357"/>
    <cellStyle name="_TG-TH_2_Lora-tungchau_ks-diachaât caàu" xfId="3358"/>
    <cellStyle name="_TG-TH_2_Lora-tungchau_ks-diachaât caàu_1" xfId="3359"/>
    <cellStyle name="_TG-TH_2_mauBCC" xfId="3360"/>
    <cellStyle name="_TG-TH_2_moi" xfId="3361"/>
    <cellStyle name="_TG-TH_2_moi_1" xfId="3362"/>
    <cellStyle name="_TG-TH_2_moi_XL4Poppy" xfId="3363"/>
    <cellStyle name="_TG-TH_2_moi_XL4Poppy_1" xfId="3364"/>
    <cellStyle name="_TG-TH_2_moi_XL4Test5" xfId="3365"/>
    <cellStyle name="_TG-TH_2_moi_XL4Test5_1" xfId="3366"/>
    <cellStyle name="_TG-TH_2_PGIA-phieu tham tra Kho bac" xfId="3367"/>
    <cellStyle name="_TG-TH_2_PGIA-phieu tham tra Kho bac_1" xfId="3368"/>
    <cellStyle name="_TG-TH_2_PT02-02" xfId="3369"/>
    <cellStyle name="_TG-TH_2_PT02-02_1" xfId="3370"/>
    <cellStyle name="_TG-TH_2_PT02-02_Book1" xfId="3371"/>
    <cellStyle name="_TG-TH_2_PT02-02_Book1_1" xfId="3372"/>
    <cellStyle name="_TG-TH_2_PT02-02_Book1_ks-diachaât caàu" xfId="3373"/>
    <cellStyle name="_TG-TH_2_PT02-02_Book1_ks-diachaât caàu_1" xfId="3374"/>
    <cellStyle name="_TG-TH_2_PT02-03" xfId="3375"/>
    <cellStyle name="_TG-TH_2_PT02-03_1" xfId="3376"/>
    <cellStyle name="_TG-TH_2_PT02-03_Book1" xfId="3377"/>
    <cellStyle name="_TG-TH_2_PT02-03_Book1_1" xfId="3378"/>
    <cellStyle name="_TG-TH_2_PT02-03_Book1_ks-diachaât caàu" xfId="3379"/>
    <cellStyle name="_TG-TH_2_PT02-03_Book1_ks-diachaât caàu_1" xfId="3380"/>
    <cellStyle name="_TG-TH_2_QD so 957" xfId="3381"/>
    <cellStyle name="_TG-TH_2_QT TINH UNG 2002" xfId="3382"/>
    <cellStyle name="_TG-TH_2_Qt-HT3PQ1(CauKho)" xfId="3383"/>
    <cellStyle name="_TG-TH_2_Qt-HT3PQ1(CauKho)_1" xfId="3384"/>
    <cellStyle name="_TG-TH_2_Qt-HT3PQ1(CauKho)_Don gia quy 3 nam 2003 - Ban Dien Luc" xfId="3385"/>
    <cellStyle name="_TG-TH_2_Qt-HT3PQ1(CauKho)_Don gia quy 3 nam 2003 - Ban Dien Luc_1" xfId="3386"/>
    <cellStyle name="_TG-TH_2_Qt-HT3PQ1(CauKho)_Don gia quy 3 nam 2003 - Ban Dien Luc_ks-diachaât caàu" xfId="3387"/>
    <cellStyle name="_TG-TH_2_Qt-HT3PQ1(CauKho)_Don gia quy 3 nam 2003 - Ban Dien Luc_ks-diachaât caàu_1" xfId="3388"/>
    <cellStyle name="_TG-TH_2_Qt-HT3PQ1(CauKho)_ks-diachaât caàu" xfId="3389"/>
    <cellStyle name="_TG-TH_2_Qt-HT3PQ1(CauKho)_ks-diachaât caàu_1" xfId="3390"/>
    <cellStyle name="_TG-TH_2_Qt-HT3PQ1(CauKho)_NC-VL2-2003" xfId="3391"/>
    <cellStyle name="_TG-TH_2_Qt-HT3PQ1(CauKho)_NC-VL2-2003_1" xfId="3392"/>
    <cellStyle name="_TG-TH_2_Qt-HT3PQ1(CauKho)_NC-VL2-2003_1_1" xfId="3393"/>
    <cellStyle name="_TG-TH_2_Qt-HT3PQ1(CauKho)_NC-VL2-2003_1_1_1" xfId="3394"/>
    <cellStyle name="_TG-TH_2_Qt-HT3PQ1(CauKho)_NC-VL2-2003_1_ks-diachaât caàu" xfId="3395"/>
    <cellStyle name="_TG-TH_2_Qt-HT3PQ1(CauKho)_NC-VL2-2003_1_ks-diachaât caàu_1" xfId="3396"/>
    <cellStyle name="_TG-TH_2_Qt-HT3PQ1(CauKho)_XL4Test5" xfId="3397"/>
    <cellStyle name="_TG-TH_2_Qt-HT3PQ1(CauKho)_XL4Test5_1" xfId="3398"/>
    <cellStyle name="_TG-TH_2_Qt-HT3PQ1(CauKho)_XL4Test5_1_1" xfId="3399"/>
    <cellStyle name="_TG-TH_2_Qt-HT3PQ1(CauKho)_XL4Test5_1_1_1" xfId="3400"/>
    <cellStyle name="_TG-TH_2_Qt-HT3PQ1(CauKho)_XL4Test5_ks-diachaât caàu" xfId="3401"/>
    <cellStyle name="_TG-TH_2_Qt-HT3PQ1(CauKho)_XL4Test5_ks-diachaât caàu_1" xfId="3402"/>
    <cellStyle name="_TG-TH_2_Sheet2" xfId="3403"/>
    <cellStyle name="_TG-TH_2_Sheet2_1" xfId="3404"/>
    <cellStyle name="_TG-TH_2_SO TOAN KHOI LUONG DE DAI DIEN" xfId="3405"/>
    <cellStyle name="_TG-TH_2_SO TOAN KHOI LUONG DE DAI DIEN_1" xfId="3406"/>
    <cellStyle name="_TG-TH_2_STKL KE BAC LIEU" xfId="3407"/>
    <cellStyle name="_TG-TH_2_STKL NGACAITRONG" xfId="3408"/>
    <cellStyle name="_TG-TH_2_th" xfId="3409"/>
    <cellStyle name="_TG-TH_2_THDT" xfId="3410"/>
    <cellStyle name="_TG-TH_2_THDT PHUOC LONG PA1(T6)" xfId="3411"/>
    <cellStyle name="_TG-TH_2_THDT_1" xfId="3412"/>
    <cellStyle name="_TG-TH_2_THONG KE THEP" xfId="3413"/>
    <cellStyle name="_TG-TH_2_TKHC-THOIQUAN-05-04-2004" xfId="3414"/>
    <cellStyle name="_TG-TH_2_TKHC-THOIQUAN-05-04-2004_1" xfId="3415"/>
    <cellStyle name="_TG-TH_2_TMDT 4 GOI" xfId="3416"/>
    <cellStyle name="_TG-TH_2_TMDT GOI 2 BO BAC (tinh cp lai du phong)" xfId="3417"/>
    <cellStyle name="_TG-TH_2_TMDT22" xfId="3418"/>
    <cellStyle name="_TG-TH_2_TMDTPA1" xfId="3419"/>
    <cellStyle name="_TG-TH_2_TONG DU TOAN" xfId="3420"/>
    <cellStyle name="_TG-TH_2_TONG MUC DAU TU DC" xfId="3421"/>
    <cellStyle name="_TG-TH_2_XL4Poppy" xfId="3422"/>
    <cellStyle name="_TG-TH_2_XL4Poppy_1" xfId="3423"/>
    <cellStyle name="_TG-TH_2_XL4Poppy_XL4Test5" xfId="3424"/>
    <cellStyle name="_TG-TH_2_XL4Poppy_XL4Test5_1" xfId="3425"/>
    <cellStyle name="_TG-TH_2_XL4Test5" xfId="3426"/>
    <cellStyle name="_TG-TH_2_XL4Test5_1" xfId="3427"/>
    <cellStyle name="_TG-TH_3" xfId="3428"/>
    <cellStyle name="_TG-TH_3_1" xfId="3429"/>
    <cellStyle name="_TG-TH_3_BO KE THI TRAN TAN CHAU-GD2" xfId="3430"/>
    <cellStyle name="_TG-TH_3_Book1" xfId="3431"/>
    <cellStyle name="_TG-TH_3_Book1_1" xfId="3432"/>
    <cellStyle name="_TG-TH_3_CAP NUOC XUAN TO-TINH BIEN" xfId="3433"/>
    <cellStyle name="_TG-TH_3_CHO SON HIEP-AN BINH" xfId="3434"/>
    <cellStyle name="_TG-TH_3_DUONG TIEP NOI TDC KENH CHA VA - KENH QUYT" xfId="3435"/>
    <cellStyle name="_TG-TH_3_DUONG TIEP NOI TDC KENH CHA VA - KENH QUYT-LAN 2" xfId="3436"/>
    <cellStyle name="_TG-TH_3_GIA CUA" xfId="3437"/>
    <cellStyle name="_TG-TH_3_GIAO THONG" xfId="3438"/>
    <cellStyle name="_TG-TH_3_GT-KCN" xfId="3439"/>
    <cellStyle name="_TG-TH_3_HA TANG KY THUAT" xfId="3440"/>
    <cellStyle name="_TG-TH_3_HTCN-XA HOA BINH-CHO MOI" xfId="3441"/>
    <cellStyle name="_TG-TH_3_HTGT" xfId="3442"/>
    <cellStyle name="_TG-TH_3_HTGT-CDC BAC SON" xfId="3443"/>
    <cellStyle name="_TG-TH_3_HTGT-TDC KENH CA MAU AP KIEN THANH 2" xfId="3444"/>
    <cellStyle name="_TG-TH_3_HTGT-TDC NUI NOI MO RONG" xfId="3445"/>
    <cellStyle name="_TG-TH_3_HTTN" xfId="3446"/>
    <cellStyle name="_TG-TH_3_HTTN_1" xfId="3447"/>
    <cellStyle name="_TG-TH_3_HTTN-LAN 2" xfId="3448"/>
    <cellStyle name="_TG-TH_3_HTTN-TDC NUI NOI MO RONG" xfId="3449"/>
    <cellStyle name="_TG-TH_3_KE BAO VE BO SONG HAU KHU VUC TRU SO TINH UY" xfId="3450"/>
    <cellStyle name="_TG-TH_3_KHAO SAT" xfId="3451"/>
    <cellStyle name="_TG-TH_3_KHOI HANH-NHA NGHI TINH UY" xfId="3452"/>
    <cellStyle name="_TG-TH_3_KHOI NHA CHINH" xfId="3453"/>
    <cellStyle name="_TG-TH_3_KHOI THUC HANH" xfId="3454"/>
    <cellStyle name="_TG-TH_3_KHOI XAY MOI" xfId="3455"/>
    <cellStyle name="_TG-TH_3_lan 3" xfId="3456"/>
    <cellStyle name="_TG-TH_3_Lora-tungchau" xfId="3457"/>
    <cellStyle name="_TG-TH_3_Lora-tungchau_1" xfId="3458"/>
    <cellStyle name="_TG-TH_3_Mau" xfId="3459"/>
    <cellStyle name="_TG-TH_3_MR TT GIOI THIEU VIEC LAM" xfId="3460"/>
    <cellStyle name="_TG-TH_3_NCS-TIEU HOC A TAN CHAU" xfId="3461"/>
    <cellStyle name="_TG-TH_3_NGHIA TRANG LS DOC BA DAC" xfId="3462"/>
    <cellStyle name="_TG-TH_3_NHA HANG KS THANG LOI" xfId="3463"/>
    <cellStyle name="_TG-TH_3_NHA LAM VIEC CHI NHANH DANG KIEM CHAU DOC" xfId="3464"/>
    <cellStyle name="_TG-TH_3_Nha long cho bach hoa" xfId="3465"/>
    <cellStyle name="_TG-TH_3_NHA VE SINH" xfId="3466"/>
    <cellStyle name="_TG-TH_3_NLC-KHU DAN CU AP MY TAN" xfId="3467"/>
    <cellStyle name="_TG-TH_3_PHUONG AN 1-TINH VET BUN" xfId="3468"/>
    <cellStyle name="_TG-TH_3_Qt-HT3PQ1(CauKho)" xfId="3469"/>
    <cellStyle name="_TG-TH_3_Qt-HT3PQ1(CauKho)_1" xfId="3470"/>
    <cellStyle name="_TG-TH_3_Qt-HT3PQ1(CauKho)_Don gia quy 3 nam 2003 - Ban Dien Luc" xfId="3471"/>
    <cellStyle name="_TG-TH_3_Qt-HT3PQ1(CauKho)_Don gia quy 3 nam 2003 - Ban Dien Luc_1" xfId="3472"/>
    <cellStyle name="_TG-TH_3_Qt-HT3PQ1(CauKho)_Don gia quy 3 nam 2003 - Ban Dien Luc_ks-diachaât caàu" xfId="3473"/>
    <cellStyle name="_TG-TH_3_Qt-HT3PQ1(CauKho)_Don gia quy 3 nam 2003 - Ban Dien Luc_ks-diachaât caàu_1" xfId="3474"/>
    <cellStyle name="_TG-TH_3_Qt-HT3PQ1(CauKho)_ks-diachaât caàu" xfId="3475"/>
    <cellStyle name="_TG-TH_3_Qt-HT3PQ1(CauKho)_ks-diachaât caàu_1" xfId="3476"/>
    <cellStyle name="_TG-TH_3_Qt-HT3PQ1(CauKho)_NC-VL2-2003" xfId="3477"/>
    <cellStyle name="_TG-TH_3_Qt-HT3PQ1(CauKho)_NC-VL2-2003_1" xfId="3478"/>
    <cellStyle name="_TG-TH_3_Qt-HT3PQ1(CauKho)_NC-VL2-2003_1_1" xfId="3479"/>
    <cellStyle name="_TG-TH_3_Qt-HT3PQ1(CauKho)_NC-VL2-2003_1_1_1" xfId="3480"/>
    <cellStyle name="_TG-TH_3_Qt-HT3PQ1(CauKho)_NC-VL2-2003_1_ks-diachaât caàu" xfId="3481"/>
    <cellStyle name="_TG-TH_3_Qt-HT3PQ1(CauKho)_NC-VL2-2003_1_ks-diachaât caàu_1" xfId="3482"/>
    <cellStyle name="_TG-TH_3_Qt-HT3PQ1(CauKho)_XL4Test5" xfId="3483"/>
    <cellStyle name="_TG-TH_3_Qt-HT3PQ1(CauKho)_XL4Test5_1" xfId="3484"/>
    <cellStyle name="_TG-TH_3_Qt-HT3PQ1(CauKho)_XL4Test5_1_1" xfId="3485"/>
    <cellStyle name="_TG-TH_3_Qt-HT3PQ1(CauKho)_XL4Test5_1_1_1" xfId="3486"/>
    <cellStyle name="_TG-TH_3_Qt-HT3PQ1(CauKho)_XL4Test5_ks-diachaât caàu" xfId="3487"/>
    <cellStyle name="_TG-TH_3_Qt-HT3PQ1(CauKho)_XL4Test5_ks-diachaât caàu_1" xfId="3488"/>
    <cellStyle name="_TG-TH_3_TDC CON TIEN" xfId="3489"/>
    <cellStyle name="_TG-TH_3_thoat nuoc" xfId="3490"/>
    <cellStyle name="_TG-TH_3_THOAT NUOC_1" xfId="3491"/>
    <cellStyle name="_TG-TH_3_TIEU HOC A PHU HUU-BO SUNG" xfId="3492"/>
    <cellStyle name="_TG-TH_3_TN Kenh Thay  Ban" xfId="3493"/>
    <cellStyle name="_TG-TH_3_TRAM Y TE PHUONG CHAU PHU A" xfId="3494"/>
    <cellStyle name="_TG-TH_3_TRU SO HUYEN UY PHU TAN" xfId="3495"/>
    <cellStyle name="_TG-TH_3_TRUNG TAM Y TE THOAI SON" xfId="3496"/>
    <cellStyle name="_TG-TH_3_TRUONG MAU GIAO XA AN BINH" xfId="3497"/>
    <cellStyle name="_TG-TH_3_TRUONG MAU GIAO XA MY PHU DONG" xfId="3498"/>
    <cellStyle name="_TG-TH_3_TRUONG MAU GIAO XA VINH CHAU" xfId="3499"/>
    <cellStyle name="_TG-TH_3_TRUONG THPT NGUYEN KHUYEN" xfId="3500"/>
    <cellStyle name="_TG-TH_3_TRUONG THPT NGUYEN KHUYEN-LAN 2" xfId="3501"/>
    <cellStyle name="_TG-TH_3_TRUONG THPT VINH BINH" xfId="3502"/>
    <cellStyle name="_TG-TH_3_TTXLNT-TTKYT-TONG THE-LAN 3" xfId="3503"/>
    <cellStyle name="_TG-TH_3_WC-BAC VAM NAO" xfId="3504"/>
    <cellStyle name="_TG-TH_3_XA GO" xfId="3505"/>
    <cellStyle name="_TG-TH_4" xfId="3506"/>
    <cellStyle name="_TG-TH_4_1" xfId="3507"/>
    <cellStyle name="_TG-TH_4_2.DT_CONG_MY SON DONG_ DC SAU THAM DINH" xfId="3508"/>
    <cellStyle name="_TG-TH_4_2.DT_CONG_MY SON DONG_ DC SAU THAM DINH_1" xfId="3509"/>
    <cellStyle name="_TG-TH_4_Book1" xfId="3510"/>
    <cellStyle name="_TG-TH_4_Book1_1" xfId="3511"/>
    <cellStyle name="_TG-TH_4_Book2" xfId="3512"/>
    <cellStyle name="_TG-TH_4_Book2_1" xfId="3513"/>
    <cellStyle name="_TG-TH_4_C CHIN TUYEN" xfId="3514"/>
    <cellStyle name="_TG-TH_4_CONG 1.5.xls" xfId="3515"/>
    <cellStyle name="_TG-TH_4_Cong K2+190" xfId="3516"/>
    <cellStyle name="_TG-TH_4_Cong K2+190 ( cuoi )" xfId="3517"/>
    <cellStyle name="_TG-TH_4_CONG KENH 12" xfId="3518"/>
    <cellStyle name="_TG-TH_4_Copy of CAU CHIN TUYEN" xfId="3519"/>
    <cellStyle name="_TG-TH_4_DT - TAN PHU TAY A " xfId="3520"/>
    <cellStyle name="_TG-TH_4_DT - TAN PHU TAY A _1" xfId="3521"/>
    <cellStyle name="_TG-TH_4_DT CCAU SO 2" xfId="3522"/>
    <cellStyle name="_TG-TH_4_DT Cong 2PHI 100 BONAM KENH XA NU" xfId="3523"/>
    <cellStyle name="_TG-TH_4_DT CONG BA CHUA (-1.5)" xfId="3524"/>
    <cellStyle name="_TG-TH_4_Du phong Cong Tha La" xfId="3525"/>
    <cellStyle name="_TG-TH_4_Du toan Mau" xfId="3526"/>
    <cellStyle name="_TG-TH_4_DU TOAN MAU_1" xfId="3527"/>
    <cellStyle name="_TG-TH_4_GIAVLXD092010_1287366083109" xfId="3528"/>
    <cellStyle name="_TG-TH_4_GT21_ CONG TIEU Þ60" xfId="3529"/>
    <cellStyle name="_TG-TH_4_GVL4" xfId="3530"/>
    <cellStyle name="_TG-TH_4_GVL4_1" xfId="3531"/>
    <cellStyle name="_TG-TH_4_GVLmoi" xfId="3532"/>
    <cellStyle name="_TG-TH_4_k2+700" xfId="3533"/>
    <cellStyle name="_TG-TH_4_KE LUONG THUC" xfId="3534"/>
    <cellStyle name="_TG-TH_4_KE LUONG THUC111" xfId="3535"/>
    <cellStyle name="_TG-TH_4_Ke met wa" xfId="3536"/>
    <cellStyle name="_TG-TH_4_KE THA LA" xfId="3537"/>
    <cellStyle name="_TG-TH_4_KHAO SAT" xfId="3538"/>
    <cellStyle name="_TG-TH_4_khao sat Du an" xfId="3539"/>
    <cellStyle name="_TG-TH_4_KHAO SAT TRA VINH" xfId="3540"/>
    <cellStyle name="_TG-TH_4_KHIN PHI KENH T6" xfId="3541"/>
    <cellStyle name="_TG-TH_4_KHOI LUONG DE CUC BO CAI TAC - THANH DIEN" xfId="15"/>
    <cellStyle name="_TG-TH_4_KHOI LUONG DE CUC BO CAI TAC - THANH DIEN_1" xfId="3542"/>
    <cellStyle name="_TG-TH_4_KLKS TK-8 cong kenh hau" xfId="3543"/>
    <cellStyle name="_TG-TH_4_KS - DE BAO SONG CAI OT" xfId="3544"/>
    <cellStyle name="_TG-TH_4_KS - DE BAO SONG CAI OT_1" xfId="3545"/>
    <cellStyle name="_TG-TH_4_KS - DE BAOCAI TAT - THANH DIEN" xfId="3546"/>
    <cellStyle name="_TG-TH_4_KS - DE BAOCAI TAT - THANH DIEN_1" xfId="3547"/>
    <cellStyle name="_TG-TH_4_KS - DE LAN NAM_CHO LACH" xfId="3548"/>
    <cellStyle name="_TG-TH_4_KS - DE LAN NAM_CHO LACH_1" xfId="3549"/>
    <cellStyle name="_TG-TH_4_KS - DE LAN NAM_CHO LACH_AD" xfId="3550"/>
    <cellStyle name="_TG-TH_4_KS - DE LAN NAM_CHO LACH_AD_1" xfId="3551"/>
    <cellStyle name="_TG-TH_4_KS - DE VEN SONG HAM LUONG_DAI DIEN " xfId="3552"/>
    <cellStyle name="_TG-TH_4_KS - DE VEN SONG HAM LUONG_DAI DIEN _1" xfId="3553"/>
    <cellStyle name="_TG-TH_4_QD so 957" xfId="3554"/>
    <cellStyle name="_TG-TH_4_SO TOAN KHOI LUONG DE DAI DIEN" xfId="3555"/>
    <cellStyle name="_TG-TH_4_SO TOAN KHOI LUONG DE DAI DIEN_1" xfId="3556"/>
    <cellStyle name="_TG-TH_4_STKL KE BAC LIEU" xfId="3557"/>
    <cellStyle name="_TG-TH_4_STKL NGACAITRONG" xfId="3558"/>
    <cellStyle name="_TG-TH_4_th" xfId="3559"/>
    <cellStyle name="_TG-TH_4_THDT" xfId="3560"/>
    <cellStyle name="_TG-TH_4_THDT PHUOC LONG PA1(T6)" xfId="3561"/>
    <cellStyle name="_TG-TH_4_THDT_1" xfId="3562"/>
    <cellStyle name="_TG-TH_4_THONG KE THEP" xfId="3563"/>
    <cellStyle name="_TG-TH_4_TMDT 4 GOI" xfId="3564"/>
    <cellStyle name="_TG-TH_4_TMDT GOI 2 BO BAC (tinh cp lai du phong)" xfId="3565"/>
    <cellStyle name="_TG-TH_4_TMDT22" xfId="3566"/>
    <cellStyle name="_TG-TH_4_TMDTPA1" xfId="3567"/>
    <cellStyle name="_TG-TH_4_TONG DU TOAN" xfId="3568"/>
    <cellStyle name="_TG-TH_4_TONG MUC DAU TU DC" xfId="3569"/>
    <cellStyle name="_th" xfId="3570"/>
    <cellStyle name="_THDT" xfId="3571"/>
    <cellStyle name="_THDT PHUOC LONG PA1(T6)" xfId="3572"/>
    <cellStyle name="_THDT_1" xfId="3573"/>
    <cellStyle name="_THDT_2.DT_CONG_MY SON DONG_ DC SAU THAM DINH" xfId="3574"/>
    <cellStyle name="_THDT_2.DT_CONG_MY SON DONG_ DC SAU THAM DINH_Khối lượng hoàn thành" xfId="3575"/>
    <cellStyle name="_THDT_DT - TAN PHU TAY A " xfId="3576"/>
    <cellStyle name="_THDT_DT - TAN PHU TAY A _Khối lượng hoàn thành" xfId="3577"/>
    <cellStyle name="_THDT_KHOI LUONG DE CUC BO CAI TAC - THANH DIEN" xfId="3578"/>
    <cellStyle name="_THDT_KHOI LUONG DE CUC BO CAI TAC - THANH DIEN_Khối lượng hoàn thành" xfId="3579"/>
    <cellStyle name="_THDT_KS - DE BAO SONG CAI OT" xfId="3580"/>
    <cellStyle name="_THDT_KS - DE BAO SONG CAI OT_Khối lượng hoàn thành" xfId="3581"/>
    <cellStyle name="_THDT_KS - DE BAOCAI TAT - THANH DIEN" xfId="3582"/>
    <cellStyle name="_THDT_KS - DE BAOCAI TAT - THANH DIEN_Khối lượng hoàn thành" xfId="3583"/>
    <cellStyle name="_THDT_KS - DE LAN NAM_CHO LACH" xfId="3584"/>
    <cellStyle name="_THDT_KS - DE LAN NAM_CHO LACH_AD" xfId="3585"/>
    <cellStyle name="_THDT_KS - DE LAN NAM_CHO LACH_AD_Khối lượng hoàn thành" xfId="3586"/>
    <cellStyle name="_THDT_KS - DE LAN NAM_CHO LACH_Khối lượng hoàn thành" xfId="3587"/>
    <cellStyle name="_THDT_KS - DE VEN SONG HAM LUONG_DAI DIEN " xfId="3588"/>
    <cellStyle name="_THDT_KS - DE VEN SONG HAM LUONG_DAI DIEN _Khối lượng hoàn thành" xfId="3589"/>
    <cellStyle name="_THDT_SO TOAN KHOI LUONG DE DAI DIEN" xfId="3590"/>
    <cellStyle name="_THDT_SO TOAN KHOI LUONG DE DAI DIEN_Khối lượng hoàn thành" xfId="3591"/>
    <cellStyle name="_THDT_TMDTPA1" xfId="3592"/>
    <cellStyle name="_THDTGOI 21" xfId="3593"/>
    <cellStyle name="_thoat nuoc" xfId="3594"/>
    <cellStyle name="_THOAT NUOC_1" xfId="3595"/>
    <cellStyle name="_THONG KE THEP" xfId="3596"/>
    <cellStyle name="_thy_20.12" xfId="3597"/>
    <cellStyle name="_thy_20.12_dao huu co DONG DO tu Km16+453.33 den Km16+984.25" xfId="3598"/>
    <cellStyle name="_TIEU HOC A PHU HUU-BO SUNG" xfId="3599"/>
    <cellStyle name="_TKHC-THOIQUAN-05-04-2004" xfId="3600"/>
    <cellStyle name="_TKHC-THOIQUAN-05-04-2004_1" xfId="3601"/>
    <cellStyle name="_TKP Cam Dong sua" xfId="3602"/>
    <cellStyle name="_TMDT 4 GOI" xfId="3603"/>
    <cellStyle name="_TMDT GOI 2 BO BAC (tinh cp lai du phong)" xfId="3604"/>
    <cellStyle name="_TMDT22" xfId="3605"/>
    <cellStyle name="_TMDTPA1" xfId="3606"/>
    <cellStyle name="_TN Kenh Thay  Ban" xfId="3607"/>
    <cellStyle name="_TONG DU TOAN" xfId="3608"/>
    <cellStyle name="_TONG DU TOAN VINH LONG-PA1" xfId="3609"/>
    <cellStyle name="_TONG DU TOAN VINH LONG-PA1_1 DT CONG BTCT Þ1000" xfId="3610"/>
    <cellStyle name="_TONG DU TOAN VINH LONG-PA1_2 DT CONG BTCT Þ1000 - goi thau 2-t1 ook" xfId="3611"/>
    <cellStyle name="_TONG DU TOAN VINH LONG-PA1_4 TONG DU TOAN (3-2012)" xfId="3612"/>
    <cellStyle name="_TONG DU TOAN VINH LONG-PA1_ben pha kenh xang xeo ro-thamdinh" xfId="3613"/>
    <cellStyle name="_TONG DU TOAN VINH LONG-PA1_CAU CHIN TUYEN" xfId="3614"/>
    <cellStyle name="_TONG DU TOAN VINH LONG-PA1_CONG NGANG DUONG" xfId="3615"/>
    <cellStyle name="_TONG DU TOAN VINH LONG-PA1_CONG NGANG DUONG -" xfId="3616"/>
    <cellStyle name="_TONG DU TOAN VINH LONG-PA1_da sua - 4 DU TOAN CAU BAN KENH MUONG LO" xfId="3617"/>
    <cellStyle name="_TONG DU TOAN VINH LONG-PA1_DT CAU" xfId="3618"/>
    <cellStyle name="_TONG DU TOAN VINH LONG-PA1_DT CAU 7 SUOL-Thamdinh" xfId="3619"/>
    <cellStyle name="_TONG DU TOAN VINH LONG-PA1_DT CAU KIEM LAM-thamdinh" xfId="3620"/>
    <cellStyle name="_TONG DU TOAN VINH LONG-PA1_DT CONG-thamdinh" xfId="3621"/>
    <cellStyle name="_TONG DU TOAN VINH LONG-PA1_DT KENH KHU 2-thamdinh" xfId="3622"/>
    <cellStyle name="_TONG DU TOAN VINH LONG-PA1_duong giong nhan ganh hao - cong ngang duong" xfId="3623"/>
    <cellStyle name="_TONG DU TOAN VINH LONG-PA1_Duong Giong Nhan Ganh Hao - Duong giao thong" xfId="3624"/>
    <cellStyle name="_TONG DU TOAN VINH LONG-PA1_DUONG -GOI THAU 2" xfId="3625"/>
    <cellStyle name="_TONG DU TOAN VINH LONG-PA1_DUONG TUYEN -goi thau 1" xfId="3626"/>
    <cellStyle name="_TONG DU TOAN VINH LONG-PA1_TK cong" xfId="3627"/>
    <cellStyle name="_Tong hop may cheu nganh 1" xfId="3628"/>
    <cellStyle name="_TONG MUC DAU TU DC" xfId="3629"/>
    <cellStyle name="_TRAM Y TE PHUONG CHAU PHU A" xfId="3630"/>
    <cellStyle name="_TRU SO HUYEN UY PHU TAN" xfId="3631"/>
    <cellStyle name="_TRUNG TAM Y TE THOAI SON" xfId="3632"/>
    <cellStyle name="_TRUONG MAU GIAO XA AN BINH" xfId="3633"/>
    <cellStyle name="_TRUONG MAU GIAO XA MY PHU DONG" xfId="3634"/>
    <cellStyle name="_TRUONG MAU GIAO XA VINH CHAU" xfId="3635"/>
    <cellStyle name="_TRUONG THPT NGUYEN KHUYEN" xfId="3636"/>
    <cellStyle name="_TRUONG THPT NGUYEN KHUYEN-LAN 2" xfId="3637"/>
    <cellStyle name="_TRUONG THPT VINH BINH" xfId="3638"/>
    <cellStyle name="_TTXLNT-TTKYT-TONG THE-LAN 3" xfId="3639"/>
    <cellStyle name="_WC-BAC VAM NAO" xfId="3640"/>
    <cellStyle name="_XA GO" xfId="3641"/>
    <cellStyle name="_XN-TV1_d" xfId="3642"/>
    <cellStyle name="_XN-TV1_d_1 DT CONG BTCT Þ1000" xfId="3643"/>
    <cellStyle name="_XN-TV1_d_2 DT CONG BTCT Þ1000 - goi thau 2-t1 ook" xfId="3644"/>
    <cellStyle name="_XN-TV1_d_2.DT_CONG_MY SON DONG_ DC SAU THAM DINH" xfId="3645"/>
    <cellStyle name="_XN-TV1_d_2.DT_CONG_MY SON DONG_ DC SAU THAM DINH_Khối lượng hoàn thành" xfId="3646"/>
    <cellStyle name="_XN-TV1_d_4 TONG DU TOAN (3-2012)" xfId="3647"/>
    <cellStyle name="_XN-TV1_d_ben pha kenh xang xeo ro-thamdinh" xfId="3648"/>
    <cellStyle name="_XN-TV1_d_CAU CHIN TUYEN" xfId="3649"/>
    <cellStyle name="_XN-TV1_d_CONG NGANG DUONG" xfId="3650"/>
    <cellStyle name="_XN-TV1_d_CONG NGANG DUONG -" xfId="3651"/>
    <cellStyle name="_XN-TV1_d_da sua - 4 DU TOAN CAU BAN KENH MUONG LO" xfId="3652"/>
    <cellStyle name="_XN-TV1_d_DT - TAN PHU TAY A " xfId="3653"/>
    <cellStyle name="_XN-TV1_d_DT - TAN PHU TAY A _Khối lượng hoàn thành" xfId="3654"/>
    <cellStyle name="_XN-TV1_d_DT CAU" xfId="3655"/>
    <cellStyle name="_XN-TV1_d_DT CAU 7 SUOL-Thamdinh" xfId="3656"/>
    <cellStyle name="_XN-TV1_d_DT CAU KIEM LAM-thamdinh" xfId="3657"/>
    <cellStyle name="_XN-TV1_d_DT CONG-thamdinh" xfId="3658"/>
    <cellStyle name="_XN-TV1_d_DT KENH KHU 2-thamdinh" xfId="3659"/>
    <cellStyle name="_XN-TV1_d_duong giong nhan ganh hao - cong ngang duong" xfId="3660"/>
    <cellStyle name="_XN-TV1_d_Duong Giong Nhan Ganh Hao - Duong giao thong" xfId="3661"/>
    <cellStyle name="_XN-TV1_d_DUONG -GOI THAU 2" xfId="3662"/>
    <cellStyle name="_XN-TV1_d_DUONG TUYEN -goi thau 1" xfId="3663"/>
    <cellStyle name="_XN-TV1_d_KHOI LUONG DE CUC BO CAI TAC - THANH DIEN" xfId="3664"/>
    <cellStyle name="_XN-TV1_d_KHOI LUONG DE CUC BO CAI TAC - THANH DIEN_Khối lượng hoàn thành" xfId="3665"/>
    <cellStyle name="_XN-TV1_d_KL-DH" xfId="3666"/>
    <cellStyle name="_XN-TV1_d_KL-DH_da sua - 4 DU TOAN CAU BAN KENH MUONG LO" xfId="3667"/>
    <cellStyle name="_XN-TV1_d_KL-DH_DT CONG-thamdinh" xfId="3668"/>
    <cellStyle name="_XN-TV1_d_KL-DHDM" xfId="3669"/>
    <cellStyle name="_XN-TV1_d_KL-DHDM_da sua - 4 DU TOAN CAU BAN KENH MUONG LO" xfId="3670"/>
    <cellStyle name="_XN-TV1_d_KL-DHDM_DT CONG-thamdinh" xfId="3671"/>
    <cellStyle name="_XN-TV1_d_KL-DHK" xfId="3672"/>
    <cellStyle name="_XN-TV1_d_KL-DHK_da sua - 4 DU TOAN CAU BAN KENH MUONG LO" xfId="3673"/>
    <cellStyle name="_XN-TV1_d_KL-DHK_DT CONG-thamdinh" xfId="3674"/>
    <cellStyle name="_XN-TV1_d_KS - DE BAO SONG CAI OT" xfId="3675"/>
    <cellStyle name="_XN-TV1_d_KS - DE BAO SONG CAI OT_Khối lượng hoàn thành" xfId="3676"/>
    <cellStyle name="_XN-TV1_d_KS - DE BAOCAI TAT - THANH DIEN" xfId="3677"/>
    <cellStyle name="_XN-TV1_d_KS - DE BAOCAI TAT - THANH DIEN_Khối lượng hoàn thành" xfId="3678"/>
    <cellStyle name="_XN-TV1_d_KS - DE LAN NAM_CHO LACH" xfId="3679"/>
    <cellStyle name="_XN-TV1_d_KS - DE LAN NAM_CHO LACH_AD" xfId="3680"/>
    <cellStyle name="_XN-TV1_d_KS - DE LAN NAM_CHO LACH_AD_Khối lượng hoàn thành" xfId="3681"/>
    <cellStyle name="_XN-TV1_d_KS - DE LAN NAM_CHO LACH_Khối lượng hoàn thành" xfId="3682"/>
    <cellStyle name="_XN-TV1_d_KS - DE VEN SONG HAM LUONG_DAI DIEN " xfId="3683"/>
    <cellStyle name="_XN-TV1_d_KS - DE VEN SONG HAM LUONG_DAI DIEN _Khối lượng hoàn thành" xfId="3684"/>
    <cellStyle name="_XN-TV1_d_SO TOAN KHOI LUONG DE DAI DIEN" xfId="3685"/>
    <cellStyle name="_XN-TV1_d_SO TOAN KHOI LUONG DE DAI DIEN_Khối lượng hoàn thành" xfId="3686"/>
    <cellStyle name="_XN-TV1_d_TK cong" xfId="3687"/>
    <cellStyle name="~1" xfId="3688"/>
    <cellStyle name="~1 2" xfId="3689"/>
    <cellStyle name="~1?_x000d_Comma [0]_I.1?b_x000d_Comma [0]_I.3?b_x000c_Comma [0]_II?_x0012_Comma [0]_larou" xfId="3690"/>
    <cellStyle name="~1_1" xfId="3691"/>
    <cellStyle name="•W?_Format" xfId="3692"/>
    <cellStyle name="•W€_’·Šú‰p•¶" xfId="3693"/>
    <cellStyle name="•W_’·Šú‰p•¶" xfId="3694"/>
    <cellStyle name="W_STDFOR" xfId="3695"/>
    <cellStyle name="0" xfId="3696"/>
    <cellStyle name="0.00" xfId="3697"/>
    <cellStyle name="0_PTVT" xfId="3698"/>
    <cellStyle name="0_THKL" xfId="3699"/>
    <cellStyle name="0_TÍNH KHỐI LƯỢNG SAN LẤP - HÒA" xfId="3700"/>
    <cellStyle name="0_TÍNH KHỐI LƯỢNG SAN LẤP - HÒA_dt 31A-16+N46" xfId="3701"/>
    <cellStyle name="1" xfId="16"/>
    <cellStyle name="1?b_x000d_Comma [0]_CPK?b_x0011_Comma [0]_CP" xfId="3702"/>
    <cellStyle name="1_( C342-C407)" xfId="3703"/>
    <cellStyle name="1_1" xfId="3704"/>
    <cellStyle name="1_1 DT CONG BTCT Þ1000" xfId="3705"/>
    <cellStyle name="1_1.DE  LAN NAM ( 25-3-2013)" xfId="3706"/>
    <cellStyle name="1_1.DE  LAN NAM ( 25-3-2013)_1" xfId="3707"/>
    <cellStyle name="1_1.DE BAO CAI OT (7-7-2013)" xfId="3708"/>
    <cellStyle name="1_1.DE BAO CAI OT (7-7-2013)_1" xfId="3709"/>
    <cellStyle name="1_2 DT CONG BTCT Þ1000 - goi thau 2-t1 ook" xfId="3710"/>
    <cellStyle name="1_2.CONG DUOI DE QUOI DIEN (11-7-13)" xfId="3711"/>
    <cellStyle name="1_2.CONG DUOI DE QUOI DIEN (11-7-13)_1" xfId="3712"/>
    <cellStyle name="1_2.DT_CONG_MY SON DONG_ DC SAU THAM DINH" xfId="3713"/>
    <cellStyle name="1_4 TONG DU TOAN (3-2012)" xfId="3714"/>
    <cellStyle name="1_BANG TOA DO" xfId="3715"/>
    <cellStyle name="1_ben pha chong my-thamdinh" xfId="3716"/>
    <cellStyle name="1_ben pha kenh xang xeo ro-thamdinh" xfId="3717"/>
    <cellStyle name="1_Book1" xfId="3718"/>
    <cellStyle name="1_Book1_1" xfId="3719"/>
    <cellStyle name="1_CAU CHIN TUYEN" xfId="3720"/>
    <cellStyle name="1_CONG NGANG DUONG" xfId="3721"/>
    <cellStyle name="1_CONG NGANG DUONG -" xfId="3722"/>
    <cellStyle name="1_Cong QT(ban)doan1sửa" xfId="3723"/>
    <cellStyle name="1_da sua - 4 DU TOAN CAU BAN KENH MUONG LO" xfId="3724"/>
    <cellStyle name="1_DT - TAN PHU TAY A " xfId="3725"/>
    <cellStyle name="1_DT CAU" xfId="3726"/>
    <cellStyle name="1_DT CAU 7 SUOL-Thamdinh" xfId="3727"/>
    <cellStyle name="1_DT CAU KIEM LAM-thamdinh" xfId="3728"/>
    <cellStyle name="1_DT CONG-thamdinh" xfId="3729"/>
    <cellStyle name="1_DT DUONG = Tham dinh" xfId="3730"/>
    <cellStyle name="1_DT KENH KHU 2-thamdinh" xfId="3731"/>
    <cellStyle name="1_DT KSTK CHUAN 1" xfId="3732"/>
    <cellStyle name="1_DU TOAN MAU" xfId="3733"/>
    <cellStyle name="1_DU TOAN MAU_1" xfId="3734"/>
    <cellStyle name="1_duong giong nhan ganh hao - cong ngang duong" xfId="3735"/>
    <cellStyle name="1_Duong Giong Nhan Ganh Hao - Duong giao thong" xfId="3736"/>
    <cellStyle name="1_DUONG -GOI THAU 2" xfId="3737"/>
    <cellStyle name="1_DUONG TUYEN -goi thau 1" xfId="3738"/>
    <cellStyle name="1_GIAVLXD092010_1287366083109" xfId="3739"/>
    <cellStyle name="1_in ho so 14-3-2008_TBT" xfId="3740"/>
    <cellStyle name="1_in_HVL_LAN-2_SUA DON GIA" xfId="3741"/>
    <cellStyle name="1_KenhBacKrongpach-(sua)" xfId="3742"/>
    <cellStyle name="1_KenhBacKrongpach-(sua)_1" xfId="3743"/>
    <cellStyle name="1_khao sat Du an" xfId="3744"/>
    <cellStyle name="1_KHIN PHI KENH T6" xfId="3745"/>
    <cellStyle name="1_KHOI LUONG DE CUC BO CAI TAC - THANH DIEN" xfId="3746"/>
    <cellStyle name="1_KL-DH" xfId="3747"/>
    <cellStyle name="1_KL-DH_1" xfId="3748"/>
    <cellStyle name="1_KL-DHDM" xfId="3749"/>
    <cellStyle name="1_KL-DHDM_1" xfId="3750"/>
    <cellStyle name="1_KL-DHK" xfId="3751"/>
    <cellStyle name="1_KL-DHK_1" xfId="3752"/>
    <cellStyle name="1_KS - DE BAO SONG CAI OT" xfId="3753"/>
    <cellStyle name="1_KS - DE BAOCAI TAT - THANH DIEN" xfId="3754"/>
    <cellStyle name="1_KS - DE LAN NAM_CHO LACH" xfId="3755"/>
    <cellStyle name="1_KS - DE LAN NAM_CHO LACH_AD" xfId="3756"/>
    <cellStyle name="1_KS - DE VEN SONG HAM LUONG_DAI DIEN " xfId="3757"/>
    <cellStyle name="1_KThh ( C342-C407)" xfId="3758"/>
    <cellStyle name="1_NCCT_TBT_24-1" xfId="3759"/>
    <cellStyle name="1_QD so 957" xfId="3760"/>
    <cellStyle name="1_SO TOAN KHOI LUONG DE DAI DIEN" xfId="3761"/>
    <cellStyle name="1_STKL NGACAITRONG" xfId="3762"/>
    <cellStyle name="1_thy_20.12" xfId="3763"/>
    <cellStyle name="1_TK cong" xfId="3764"/>
    <cellStyle name="12.75" xfId="3765"/>
    <cellStyle name="¹éºÐÀ²_      " xfId="3766"/>
    <cellStyle name="2" xfId="17"/>
    <cellStyle name="2_Book1" xfId="3767"/>
    <cellStyle name="20" xfId="3768"/>
    <cellStyle name="20% - Accent1 2" xfId="5059"/>
    <cellStyle name="20% - Accent2 2" xfId="5060"/>
    <cellStyle name="20% - Accent3 2" xfId="5061"/>
    <cellStyle name="20% - Accent4 2" xfId="5062"/>
    <cellStyle name="20% - Accent5 2" xfId="5063"/>
    <cellStyle name="20% - Accent6 2" xfId="5064"/>
    <cellStyle name="3" xfId="18"/>
    <cellStyle name="3_Book1" xfId="3769"/>
    <cellStyle name="4" xfId="19"/>
    <cellStyle name="4_Book1" xfId="3770"/>
    <cellStyle name="40% - Accent1 2" xfId="5065"/>
    <cellStyle name="40% - Accent2 2" xfId="5066"/>
    <cellStyle name="40% - Accent3 2" xfId="5067"/>
    <cellStyle name="40% - Accent4 2" xfId="5068"/>
    <cellStyle name="40% - Accent5 2" xfId="5069"/>
    <cellStyle name="40% - Accent6 2" xfId="5070"/>
    <cellStyle name="6" xfId="3771"/>
    <cellStyle name="6???_x0002_¯ög6hÅ‡6???_x0002_¹?ß_x0008_,Ñ‡6???_x0002_…#×&gt;Ò ‡6???_x0002_é_x0007_ß_x0008__x001c__x000b__x001e_?????&#10;?_x0001_???????_x0014_?_x0001_???????_x001e_?fB_x000f_c????_x0018_I¿_x0008_v_x0010_‡6Ö_x0002_Ÿ6????ía??_x0012_c??????????????_x0001_?????????_x0001_?_x0001_?_x0001_?" xfId="3772"/>
    <cellStyle name="6???_x0002_¯ög6hÅ‡6???_x0002_¹?ß_x0008_,Ñ‡6???_x0002_…#×&gt;Ò ‡6???_x0002_é_x0007_ß_x0008__x001c__x000b__x001e_?????&#10;?_x0001_???????_x0014_?_x0001_???????_x001e_?fB_x000f_c????_x0018_I¿_x0008_v_x0010_‡6Ö_x0002_Ÿ6????_x0015_l??Õm??????????????_x0001_?????????_x0001_?_x0001_?_x0001_?" xfId="3773"/>
    <cellStyle name="6_1 DT CONG BTCT Þ1000" xfId="3774"/>
    <cellStyle name="6_1.DE  LAN NAM ( 25-3-2013)" xfId="3775"/>
    <cellStyle name="6_1.DE BAO CAI OT (7-7-2013)" xfId="3776"/>
    <cellStyle name="6_2.CONG DUOI DE QUOI DIEN (11-7-13)" xfId="3777"/>
    <cellStyle name="6_3 DU TOAN DUONG" xfId="3778"/>
    <cellStyle name="6_4 DUONG -GOI THAU 2 - (tuyen 1) ook" xfId="3779"/>
    <cellStyle name="6_4 KHAO SAT LAP DA  DUYET" xfId="3780"/>
    <cellStyle name="6_4 TONG DU TOAN" xfId="3781"/>
    <cellStyle name="6_4 TONG DU TOAN (3-2012)" xfId="3782"/>
    <cellStyle name="6_4 TONG DU TOAN BOI HOAN LAN 1" xfId="3783"/>
    <cellStyle name="6_ben pha kenh xang xeo ro-thamdinh" xfId="3784"/>
    <cellStyle name="6_Book1" xfId="3785"/>
    <cellStyle name="6_cau ban 01" xfId="3786"/>
    <cellStyle name="6_cau ban 02" xfId="3787"/>
    <cellStyle name="6_cau ban 03" xfId="3788"/>
    <cellStyle name="6_cau ban 04" xfId="3789"/>
    <cellStyle name="6_CAU CHAT DOT" xfId="3790"/>
    <cellStyle name="6_CAU DUONG DAO" xfId="3791"/>
    <cellStyle name="6_CAU HA DUC-C" xfId="3792"/>
    <cellStyle name="6_CAU LANG HUU" xfId="3793"/>
    <cellStyle name="6_CAU MAC DAY LON" xfId="3794"/>
    <cellStyle name="6_CAU NHA DAI A" xfId="3795"/>
    <cellStyle name="6_CAU THONG LUU" xfId="3796"/>
    <cellStyle name="6_CONG NGANG DUONG" xfId="3797"/>
    <cellStyle name="6_CONG NGANG DUONG -" xfId="3798"/>
    <cellStyle name="6_dao huu co DONG DO tu Km16+453.33 den Km16+984.25" xfId="3799"/>
    <cellStyle name="6_DT CAU 7 SUOL-Thamdinh" xfId="3800"/>
    <cellStyle name="6_DT CAU KENH 4'" xfId="3801"/>
    <cellStyle name="6_DT CAU KIEM LAM-thamdinh" xfId="3802"/>
    <cellStyle name="6_DT CAU NHA DAI B" xfId="3803"/>
    <cellStyle name="6_DT CAU SO 13" xfId="3804"/>
    <cellStyle name="6_DT CONG-thamdinh" xfId="3805"/>
    <cellStyle name="6_DT KENH KHU 2-thamdinh" xfId="3806"/>
    <cellStyle name="6_DT_CAU_BAN_150 (06-12-2010)" xfId="3807"/>
    <cellStyle name="6_DU TOAN DUONG" xfId="3808"/>
    <cellStyle name="6_DUONG CAU TRAM CHIM" xfId="3809"/>
    <cellStyle name="6_Duong giao thong" xfId="3810"/>
    <cellStyle name="6_khao sat Du an" xfId="3811"/>
    <cellStyle name="6_KHIN PHI KENH T6" xfId="3812"/>
    <cellStyle name="6_Tong DTOAN" xfId="3813"/>
    <cellStyle name="6_TONG DU TOAN" xfId="3814"/>
    <cellStyle name="60% - Accent1 2" xfId="5071"/>
    <cellStyle name="60% - Accent2 2" xfId="5072"/>
    <cellStyle name="60% - Accent3 2" xfId="5073"/>
    <cellStyle name="60% - Accent4 2" xfId="5074"/>
    <cellStyle name="60% - Accent5 2" xfId="5075"/>
    <cellStyle name="60% - Accent6 2" xfId="5076"/>
    <cellStyle name="a" xfId="3815"/>
    <cellStyle name="Accent1 2" xfId="5077"/>
    <cellStyle name="Accent2 2" xfId="5078"/>
    <cellStyle name="Accent3 2" xfId="5079"/>
    <cellStyle name="Accent4 2" xfId="5080"/>
    <cellStyle name="Accent5 2" xfId="5081"/>
    <cellStyle name="Accent6 2" xfId="5082"/>
    <cellStyle name="ÅëÈ­ [0]" xfId="3816"/>
    <cellStyle name="AeE­ [0]_INQUIRY ¿?¾÷AßAø " xfId="3817"/>
    <cellStyle name="ÅëÈ­ [0]_L601CPT" xfId="3818"/>
    <cellStyle name="ÅëÈ­_      " xfId="3819"/>
    <cellStyle name="AeE­_INQUIRY ¿?¾÷AßAø " xfId="3820"/>
    <cellStyle name="ÅëÈ­_L601CPT" xfId="3821"/>
    <cellStyle name="Aptima" xfId="3822"/>
    <cellStyle name="args.style" xfId="3823"/>
    <cellStyle name="ÄÞ¸¶ [0]" xfId="3824"/>
    <cellStyle name="AÞ¸¶ [0]_INQUIRY ¿?¾÷AßAø " xfId="20"/>
    <cellStyle name="ÄÞ¸¶ [0]_L601CPT" xfId="3825"/>
    <cellStyle name="ÄÞ¸¶_      " xfId="3826"/>
    <cellStyle name="AÞ¸¶_INQUIRY ¿?¾÷AßAø " xfId="21"/>
    <cellStyle name="ÄÞ¸¶_L601CPT" xfId="3827"/>
    <cellStyle name="AutoFormat Options" xfId="3828"/>
    <cellStyle name="B_U" xfId="3829"/>
    <cellStyle name="B_U_A" xfId="3830"/>
    <cellStyle name="B_U_Mauqtvtd-99" xfId="3831"/>
    <cellStyle name="B_U_Qtnbdtmau" xfId="3832"/>
    <cellStyle name="Bad 2" xfId="5083"/>
    <cellStyle name="BILL제목" xfId="3833"/>
    <cellStyle name="Body" xfId="3834"/>
    <cellStyle name="C?AØ_¿?¾÷CoE² " xfId="22"/>
    <cellStyle name="Ç¥ÁØ_      " xfId="3835"/>
    <cellStyle name="C￥AØ_¿μ¾÷CoE² " xfId="23"/>
    <cellStyle name="Ç¥ÁØ_±¸¹Ì´ëÃ¥" xfId="3836"/>
    <cellStyle name="C￥AØ_Sheet1_¿μ¾÷CoE² " xfId="3837"/>
    <cellStyle name="Ç¥ÁØ_ÿÿÿÿÿÿ_4_ÃÑÇÕ°è " xfId="3838"/>
    <cellStyle name="Calc Currency (0)" xfId="3839"/>
    <cellStyle name="Calc Currency (2)" xfId="3840"/>
    <cellStyle name="Calc Percent (0)" xfId="3841"/>
    <cellStyle name="Calc Percent (1)" xfId="3842"/>
    <cellStyle name="Calc Percent (2)" xfId="3843"/>
    <cellStyle name="Calc Units (0)" xfId="3844"/>
    <cellStyle name="Calc Units (1)" xfId="3845"/>
    <cellStyle name="Calc Units (2)" xfId="3846"/>
    <cellStyle name="Calculation 2" xfId="5084"/>
    <cellStyle name="category" xfId="3847"/>
    <cellStyle name="CC1" xfId="3848"/>
    <cellStyle name="CC2" xfId="3849"/>
    <cellStyle name="Cerrency_Sheet2_XANGDAU" xfId="3850"/>
    <cellStyle name="chchuyen" xfId="3851"/>
    <cellStyle name="Check Cell 2" xfId="5085"/>
    <cellStyle name="Chi phÝ kh¸c_Book1" xfId="3852"/>
    <cellStyle name="CHUONG" xfId="3853"/>
    <cellStyle name="Co?ma_Sheet1" xfId="3854"/>
    <cellStyle name="Comma" xfId="1" builtinId="3"/>
    <cellStyle name="Comma  - Style1" xfId="3855"/>
    <cellStyle name="Comma  - Style2" xfId="3856"/>
    <cellStyle name="Comma  - Style3" xfId="3857"/>
    <cellStyle name="Comma  - Style4" xfId="3858"/>
    <cellStyle name="Comma  - Style5" xfId="3859"/>
    <cellStyle name="Comma  - Style6" xfId="3860"/>
    <cellStyle name="Comma  - Style7" xfId="3861"/>
    <cellStyle name="Comma  - Style8" xfId="3862"/>
    <cellStyle name="Comma [ ,]" xfId="3863"/>
    <cellStyle name="Comma [0] 2" xfId="3864"/>
    <cellStyle name="Comma [00]" xfId="3865"/>
    <cellStyle name="Comma 10" xfId="67"/>
    <cellStyle name="Comma 10 2" xfId="74"/>
    <cellStyle name="Comma 11" xfId="3866"/>
    <cellStyle name="Comma 12" xfId="3867"/>
    <cellStyle name="Comma 13" xfId="3868"/>
    <cellStyle name="Comma 13 2" xfId="3869"/>
    <cellStyle name="Comma 14" xfId="3870"/>
    <cellStyle name="Comma 15" xfId="4958"/>
    <cellStyle name="Comma 16" xfId="4959"/>
    <cellStyle name="Comma 17" xfId="4963"/>
    <cellStyle name="Comma 17 2" xfId="5105"/>
    <cellStyle name="Comma 17 3" xfId="5112"/>
    <cellStyle name="Comma 18" xfId="4968"/>
    <cellStyle name="Comma 19" xfId="5058"/>
    <cellStyle name="Comma 19 2" xfId="5102"/>
    <cellStyle name="Comma 2" xfId="2"/>
    <cellStyle name="Comma 2 2" xfId="26"/>
    <cellStyle name="Comma 2 2 2" xfId="3871"/>
    <cellStyle name="Comma 2 2 3" xfId="3872"/>
    <cellStyle name="Comma 2 3" xfId="27"/>
    <cellStyle name="Comma 2 4" xfId="25"/>
    <cellStyle name="Comma 2 5" xfId="5103"/>
    <cellStyle name="Comma 20" xfId="5114"/>
    <cellStyle name="Comma 3" xfId="28"/>
    <cellStyle name="Comma 3 2" xfId="29"/>
    <cellStyle name="Comma 3 3" xfId="30"/>
    <cellStyle name="Comma 3 4" xfId="5101"/>
    <cellStyle name="Comma 4" xfId="31"/>
    <cellStyle name="Comma 4 2" xfId="32"/>
    <cellStyle name="Comma 4 3" xfId="70"/>
    <cellStyle name="Comma 4 4" xfId="3873"/>
    <cellStyle name="Comma 4 4 2" xfId="3874"/>
    <cellStyle name="Comma 4 4 2 2" xfId="3875"/>
    <cellStyle name="Comma 4 5" xfId="3876"/>
    <cellStyle name="Comma 5" xfId="33"/>
    <cellStyle name="Comma 6" xfId="34"/>
    <cellStyle name="Comma 6 2" xfId="3877"/>
    <cellStyle name="Comma 7" xfId="35"/>
    <cellStyle name="Comma 8" xfId="24"/>
    <cellStyle name="Comma 9" xfId="78"/>
    <cellStyle name="Comma 9 2" xfId="3878"/>
    <cellStyle name="comma zerodec" xfId="3879"/>
    <cellStyle name="Comma?pldt_6" xfId="3880"/>
    <cellStyle name="Comma0" xfId="36"/>
    <cellStyle name="Comma0 - Modelo1" xfId="3881"/>
    <cellStyle name="Comma0 - Style1" xfId="3882"/>
    <cellStyle name="Comma0_KHOI LUONG CAU TAM" xfId="3883"/>
    <cellStyle name="Comma1 - Modelo2" xfId="3884"/>
    <cellStyle name="Comma1 - Style2" xfId="3885"/>
    <cellStyle name="Commaɟpldt_6" xfId="3886"/>
    <cellStyle name="Copied" xfId="3887"/>
    <cellStyle name="ct xuyen a" xfId="3888"/>
    <cellStyle name="CT1" xfId="3889"/>
    <cellStyle name="CT2" xfId="3890"/>
    <cellStyle name="CT4" xfId="3891"/>
    <cellStyle name="CT5" xfId="3892"/>
    <cellStyle name="ct7" xfId="3893"/>
    <cellStyle name="ct8" xfId="3894"/>
    <cellStyle name="cth1" xfId="3895"/>
    <cellStyle name="Cthuc" xfId="3896"/>
    <cellStyle name="Cthuc1" xfId="3897"/>
    <cellStyle name="CUOC" xfId="3898"/>
    <cellStyle name="Curråncy [0]_FCST_RESULTS" xfId="3899"/>
    <cellStyle name="Currency [0]ßmud plant bolted_RESULTS" xfId="3900"/>
    <cellStyle name="Currency [00]" xfId="3901"/>
    <cellStyle name="Currency 2" xfId="3902"/>
    <cellStyle name="Currency 3" xfId="3903"/>
    <cellStyle name="Currency![0]_FCSt (2)" xfId="3904"/>
    <cellStyle name="Currency0" xfId="37"/>
    <cellStyle name="Currency1" xfId="3905"/>
    <cellStyle name="d" xfId="3906"/>
    <cellStyle name="d%" xfId="3907"/>
    <cellStyle name="D_G_A" xfId="3908"/>
    <cellStyle name="d1" xfId="3909"/>
    <cellStyle name="Date" xfId="38"/>
    <cellStyle name="Date Short" xfId="3910"/>
    <cellStyle name="Date_1" xfId="3911"/>
    <cellStyle name="dd-m" xfId="3912"/>
    <cellStyle name="dd-mm" xfId="3913"/>
    <cellStyle name="DELTA" xfId="3914"/>
    <cellStyle name="Dezimal [0]_NEGS" xfId="3915"/>
    <cellStyle name="Dezimal_NEGS" xfId="3916"/>
    <cellStyle name="Dia" xfId="3917"/>
    <cellStyle name="Dollar (zero dec)" xfId="3918"/>
    <cellStyle name="duy1" xfId="3919"/>
    <cellStyle name="Dziesi?tny [0]_Invoices2001Slovakia" xfId="3920"/>
    <cellStyle name="Dziesi?tny_Invoices2001Slovakia" xfId="3921"/>
    <cellStyle name="Dziesietny [0]_Invoices2001Slovakia" xfId="3922"/>
    <cellStyle name="Dziesiętny [0]_Invoices2001Slovakia" xfId="3923"/>
    <cellStyle name="Dziesietny [0]_Invoices2001Slovakia_1" xfId="3924"/>
    <cellStyle name="Dziesiętny [0]_Invoices2001Slovakia_1" xfId="3925"/>
    <cellStyle name="Dziesietny [0]_Invoices2001Slovakia_Au-De cuong va du toan Cau Số 2 phuoc long" xfId="3926"/>
    <cellStyle name="Dziesiętny [0]_Invoices2001Slovakia_Book1" xfId="3927"/>
    <cellStyle name="Dziesietny [0]_Invoices2001Slovakia_Book1_1" xfId="3928"/>
    <cellStyle name="Dziesiętny [0]_Invoices2001Slovakia_Book1_1" xfId="3929"/>
    <cellStyle name="Dziesietny [0]_Invoices2001Slovakia_Book1_Tong hop Cac tuyen(9-1-06)" xfId="3930"/>
    <cellStyle name="Dziesiętny [0]_Invoices2001Slovakia_Book1_Tong hop Cac tuyen(9-1-06)" xfId="3931"/>
    <cellStyle name="Dziesietny [0]_Invoices2001Slovakia_Book1_Tong hop Cac tuyen(9-1-06)_1" xfId="3932"/>
    <cellStyle name="Dziesiętny [0]_Invoices2001Slovakia_Book1_Tong hop Cac tuyen(9-1-06)_1" xfId="3933"/>
    <cellStyle name="Dziesietny [0]_Invoices2001Slovakia_CHI PHI KS GDTK KENH CAU SO 2-PL" xfId="3934"/>
    <cellStyle name="Dziesiętny [0]_Invoices2001Slovakia_Nhalamviec VTC(25-1-05)" xfId="3935"/>
    <cellStyle name="Dziesietny [0]_Invoices2001Slovakia_TDT KHANH HOA" xfId="3936"/>
    <cellStyle name="Dziesiętny [0]_Invoices2001Slovakia_TDT KHANH HOA" xfId="3937"/>
    <cellStyle name="Dziesietny [0]_Invoices2001Slovakia_TDT KHANH HOA_1" xfId="3938"/>
    <cellStyle name="Dziesiętny [0]_Invoices2001Slovakia_TDT KHANH HOA_1" xfId="3939"/>
    <cellStyle name="Dziesietny [0]_Invoices2001Slovakia_TDT KHANH HOA_Tong hop Cac tuyen(9-1-06)" xfId="3940"/>
    <cellStyle name="Dziesiętny [0]_Invoices2001Slovakia_TDT KHANH HOA_Tong hop Cac tuyen(9-1-06)" xfId="3941"/>
    <cellStyle name="Dziesietny [0]_Invoices2001Slovakia_TDT KHANH HOA_Tong hop Cac tuyen(9-1-06)_1" xfId="3942"/>
    <cellStyle name="Dziesiętny [0]_Invoices2001Slovakia_TDT KHANH HOA_Tong hop Cac tuyen(9-1-06)_1" xfId="3943"/>
    <cellStyle name="Dziesietny [0]_Invoices2001Slovakia_TDT quangngai" xfId="3944"/>
    <cellStyle name="Dziesiętny [0]_Invoices2001Slovakia_TDT quangngai" xfId="3945"/>
    <cellStyle name="Dziesietny [0]_Invoices2001Slovakia_TDT quangngai_1" xfId="3946"/>
    <cellStyle name="Dziesiętny [0]_Invoices2001Slovakia_TDT quangngai_1" xfId="3947"/>
    <cellStyle name="Dziesietny [0]_Invoices2001Slovakia_Tong hop Cac tuyen(9-1-06)" xfId="3948"/>
    <cellStyle name="Dziesietny_Invoices2001Slovakia" xfId="3949"/>
    <cellStyle name="Dziesiętny_Invoices2001Slovakia" xfId="3950"/>
    <cellStyle name="Dziesietny_Invoices2001Slovakia_1" xfId="3951"/>
    <cellStyle name="Dziesiętny_Invoices2001Slovakia_1" xfId="3952"/>
    <cellStyle name="Dziesietny_Invoices2001Slovakia_Au-De cuong va du toan Cau Số 2 phuoc long" xfId="3953"/>
    <cellStyle name="Dziesiętny_Invoices2001Slovakia_Book1" xfId="3954"/>
    <cellStyle name="Dziesietny_Invoices2001Slovakia_Book1_1" xfId="3955"/>
    <cellStyle name="Dziesiętny_Invoices2001Slovakia_Book1_1" xfId="3956"/>
    <cellStyle name="Dziesietny_Invoices2001Slovakia_Book1_Tong hop Cac tuyen(9-1-06)" xfId="3957"/>
    <cellStyle name="Dziesiętny_Invoices2001Slovakia_Book1_Tong hop Cac tuyen(9-1-06)" xfId="3958"/>
    <cellStyle name="Dziesietny_Invoices2001Slovakia_Book1_Tong hop Cac tuyen(9-1-06)_1" xfId="3959"/>
    <cellStyle name="Dziesiętny_Invoices2001Slovakia_Book1_Tong hop Cac tuyen(9-1-06)_1" xfId="3960"/>
    <cellStyle name="Dziesietny_Invoices2001Slovakia_CHI PHI KS GDTK KENH CAU SO 2-PL" xfId="3961"/>
    <cellStyle name="Dziesiętny_Invoices2001Slovakia_Nhalamviec VTC(25-1-05)" xfId="3962"/>
    <cellStyle name="Dziesietny_Invoices2001Slovakia_TDT KHANH HOA" xfId="3963"/>
    <cellStyle name="Dziesiętny_Invoices2001Slovakia_TDT KHANH HOA" xfId="3964"/>
    <cellStyle name="Dziesietny_Invoices2001Slovakia_TDT KHANH HOA_1" xfId="3965"/>
    <cellStyle name="Dziesiętny_Invoices2001Slovakia_TDT KHANH HOA_1" xfId="3966"/>
    <cellStyle name="Dziesietny_Invoices2001Slovakia_TDT KHANH HOA_Tong hop Cac tuyen(9-1-06)" xfId="3967"/>
    <cellStyle name="Dziesiętny_Invoices2001Slovakia_TDT KHANH HOA_Tong hop Cac tuyen(9-1-06)" xfId="3968"/>
    <cellStyle name="Dziesietny_Invoices2001Slovakia_TDT KHANH HOA_Tong hop Cac tuyen(9-1-06)_1" xfId="3969"/>
    <cellStyle name="Dziesiętny_Invoices2001Slovakia_TDT KHANH HOA_Tong hop Cac tuyen(9-1-06)_1" xfId="3970"/>
    <cellStyle name="Dziesietny_Invoices2001Slovakia_TDT quangngai" xfId="3971"/>
    <cellStyle name="Dziesiętny_Invoices2001Slovakia_TDT quangngai" xfId="3972"/>
    <cellStyle name="Dziesietny_Invoices2001Slovakia_TDT quangngai_1" xfId="3973"/>
    <cellStyle name="Dziesiętny_Invoices2001Slovakia_TDT quangngai_1" xfId="3974"/>
    <cellStyle name="Dziesietny_Invoices2001Slovakia_Tong hop Cac tuyen(9-1-06)" xfId="3975"/>
    <cellStyle name="e" xfId="3976"/>
    <cellStyle name="eeee" xfId="3977"/>
    <cellStyle name="Encabez1" xfId="3978"/>
    <cellStyle name="Encabez2" xfId="3979"/>
    <cellStyle name="Enter Currency (0)" xfId="3980"/>
    <cellStyle name="Enter Currency (2)" xfId="3981"/>
    <cellStyle name="Enter Units (0)" xfId="3982"/>
    <cellStyle name="Enter Units (1)" xfId="3983"/>
    <cellStyle name="Enter Units (2)" xfId="3984"/>
    <cellStyle name="Entered" xfId="3985"/>
    <cellStyle name="Euro" xfId="3986"/>
    <cellStyle name="Explanatory Text 2" xfId="5086"/>
    <cellStyle name="f" xfId="3987"/>
    <cellStyle name="F2" xfId="3988"/>
    <cellStyle name="F3" xfId="3989"/>
    <cellStyle name="F4" xfId="3990"/>
    <cellStyle name="F5" xfId="3991"/>
    <cellStyle name="F6" xfId="3992"/>
    <cellStyle name="F7" xfId="3993"/>
    <cellStyle name="F8" xfId="3994"/>
    <cellStyle name="Fijo" xfId="3995"/>
    <cellStyle name="Financiero" xfId="3996"/>
    <cellStyle name="Fixed" xfId="39"/>
    <cellStyle name="font aptima9" xfId="3997"/>
    <cellStyle name="Font Britannic16" xfId="3998"/>
    <cellStyle name="Font Britannic18" xfId="3999"/>
    <cellStyle name="Font CenturyCond 18" xfId="4000"/>
    <cellStyle name="Font Cond20" xfId="4001"/>
    <cellStyle name="Font LucidaSans16" xfId="4002"/>
    <cellStyle name="Font NewCenturyCond18" xfId="4003"/>
    <cellStyle name="Font Ottawa14" xfId="4004"/>
    <cellStyle name="Font Ottawa16" xfId="4005"/>
    <cellStyle name="Formulas" xfId="4006"/>
    <cellStyle name="Good 2" xfId="5087"/>
    <cellStyle name="Grey" xfId="4007"/>
    <cellStyle name="Group" xfId="4008"/>
    <cellStyle name="H" xfId="4009"/>
    <cellStyle name="ha" xfId="4010"/>
    <cellStyle name="Head 1" xfId="4011"/>
    <cellStyle name="HEADER" xfId="4012"/>
    <cellStyle name="Header1" xfId="40"/>
    <cellStyle name="Header2" xfId="41"/>
    <cellStyle name="Heading 1 2" xfId="5088"/>
    <cellStyle name="Heading 2 2" xfId="5089"/>
    <cellStyle name="Heading 3 2" xfId="5090"/>
    <cellStyle name="Heading 4 2" xfId="5091"/>
    <cellStyle name="Heading1" xfId="4013"/>
    <cellStyle name="Heading1 1" xfId="4014"/>
    <cellStyle name="Heading2" xfId="4015"/>
    <cellStyle name="HEADINGS" xfId="4016"/>
    <cellStyle name="HEADINGSTOP" xfId="4017"/>
    <cellStyle name="headoption" xfId="4018"/>
    <cellStyle name="Hoa-Scholl" xfId="4019"/>
    <cellStyle name="Hyperlink 2" xfId="42"/>
    <cellStyle name="Hyperlink 3" xfId="43"/>
    <cellStyle name="i phÝ kh¸c_B¶ng 2" xfId="4020"/>
    <cellStyle name="I.3" xfId="4021"/>
    <cellStyle name="I.3?b_x000c_Comma [0]_II?_x0012_Comma [0]_laroux_2?_x0012_Comma [0]_larou_x001c_Comma [0]_laroux_3_¼­¿ï-¾È»ê?$Comma [0]" xfId="4022"/>
    <cellStyle name="I.3_1" xfId="4023"/>
    <cellStyle name="i·0" xfId="4024"/>
    <cellStyle name="i·0??????????_x0003_?_x0010__x0001_??Luu??9JS—_x0008_??????????????????ò_x0001_????&lt;i·0???" xfId="4025"/>
    <cellStyle name="i·0??????????_x0007_?_x0010__x0001_??PrintDT??9JS—_x0008_??????????????????¼_x0001_????&lt;i·" xfId="4026"/>
    <cellStyle name="i·0_1" xfId="4027"/>
    <cellStyle name="ï-¾È»ê_BiÓu TB" xfId="4028"/>
    <cellStyle name="Input [yellow]" xfId="4029"/>
    <cellStyle name="Input 2" xfId="5092"/>
    <cellStyle name="k" xfId="4030"/>
    <cellStyle name="kh¸c_Bang Chi tieu" xfId="4031"/>
    <cellStyle name="khanh" xfId="4032"/>
    <cellStyle name="khung" xfId="4033"/>
    <cellStyle name="Ledger 17 x 11 in" xfId="5109"/>
    <cellStyle name="Line" xfId="4034"/>
    <cellStyle name="Link Currency (0)" xfId="4035"/>
    <cellStyle name="Link Currency (2)" xfId="4036"/>
    <cellStyle name="Link Units (0)" xfId="4037"/>
    <cellStyle name="Link Units (1)" xfId="4038"/>
    <cellStyle name="Link Units (2)" xfId="4039"/>
    <cellStyle name="Linked Cell 2" xfId="5093"/>
    <cellStyle name="luc" xfId="4040"/>
    <cellStyle name="luc2" xfId="4041"/>
    <cellStyle name="Millares [0]_10 AVERIAS MASIVAS + ANT" xfId="4042"/>
    <cellStyle name="Millares_Well Timing" xfId="4043"/>
    <cellStyle name="Milliers [0]_      " xfId="4044"/>
    <cellStyle name="Milliers_      " xfId="4045"/>
    <cellStyle name="Môc" xfId="4046"/>
    <cellStyle name="Model" xfId="4047"/>
    <cellStyle name="moi" xfId="4048"/>
    <cellStyle name="Moneda [0]_Well Timing" xfId="4049"/>
    <cellStyle name="Moneda_Well Timing" xfId="4050"/>
    <cellStyle name="Monétaire [0]_      " xfId="4051"/>
    <cellStyle name="Monétaire_      " xfId="4052"/>
    <cellStyle name="n" xfId="4053"/>
    <cellStyle name="n_1" xfId="4054"/>
    <cellStyle name="N_Book1" xfId="4055"/>
    <cellStyle name="n_Danglam-CVC-02-2-07-Duong-goi5-Bthuy-MT-TN" xfId="4056"/>
    <cellStyle name="n_du toan Petro" xfId="4057"/>
    <cellStyle name="N_file TDinh" xfId="4058"/>
    <cellStyle name="N_In-LuuGuiCDT-CPBX-13-03-07-THKP-439mDchinh-4T-1N" xfId="4059"/>
    <cellStyle name="N_KP-NOISUY" xfId="4060"/>
    <cellStyle name="n_MUONG" xfId="4061"/>
    <cellStyle name="n1" xfId="4062"/>
    <cellStyle name="Neutral 2" xfId="5094"/>
    <cellStyle name="New" xfId="4063"/>
    <cellStyle name="New Times Roman" xfId="4064"/>
    <cellStyle name="nga" xfId="4065"/>
    <cellStyle name="no dec" xfId="4066"/>
    <cellStyle name="ÑONVÒ" xfId="4067"/>
    <cellStyle name="Normal" xfId="0" builtinId="0"/>
    <cellStyle name="Normal - ??1" xfId="44"/>
    <cellStyle name="Normal - Style1" xfId="45"/>
    <cellStyle name="Normal - 유형1" xfId="4068"/>
    <cellStyle name="Normal 10" xfId="66"/>
    <cellStyle name="Normal 105" xfId="4069"/>
    <cellStyle name="Normal 11" xfId="68"/>
    <cellStyle name="Normal 11 2" xfId="69"/>
    <cellStyle name="Normal 12" xfId="75"/>
    <cellStyle name="Normal 122" xfId="4070"/>
    <cellStyle name="Normal 13" xfId="4071"/>
    <cellStyle name="Normal 13 2" xfId="4072"/>
    <cellStyle name="Normal 131" xfId="4073"/>
    <cellStyle name="Normal 14" xfId="4074"/>
    <cellStyle name="Normal 14 2" xfId="4075"/>
    <cellStyle name="Normal 145" xfId="4076"/>
    <cellStyle name="Normal 15" xfId="4077"/>
    <cellStyle name="Normal 152" xfId="4078"/>
    <cellStyle name="Normal 153" xfId="4079"/>
    <cellStyle name="Normal 156" xfId="4080"/>
    <cellStyle name="Normal 16" xfId="4081"/>
    <cellStyle name="Normal 16 2" xfId="4082"/>
    <cellStyle name="Normal 160" xfId="4083"/>
    <cellStyle name="Normal 164" xfId="4084"/>
    <cellStyle name="Normal 168" xfId="4085"/>
    <cellStyle name="Normal 17" xfId="64"/>
    <cellStyle name="Normal 171" xfId="4086"/>
    <cellStyle name="Normal 175" xfId="4087"/>
    <cellStyle name="Normal 176" xfId="4088"/>
    <cellStyle name="Normal 18" xfId="4089"/>
    <cellStyle name="Normal 18 2" xfId="4090"/>
    <cellStyle name="Normal 181" xfId="4091"/>
    <cellStyle name="Normal 182" xfId="4092"/>
    <cellStyle name="Normal 19" xfId="4962"/>
    <cellStyle name="Normal 19 2" xfId="4969"/>
    <cellStyle name="Normal 19 3" xfId="5106"/>
    <cellStyle name="Normal 19 4" xfId="5111"/>
    <cellStyle name="Normal 193" xfId="4093"/>
    <cellStyle name="Normal 195" xfId="4094"/>
    <cellStyle name="Normal 2" xfId="3"/>
    <cellStyle name="Normal 2 2" xfId="47"/>
    <cellStyle name="Normal 2 2 2" xfId="48"/>
    <cellStyle name="Normal 2 2 3" xfId="4095"/>
    <cellStyle name="Normal 2 2 4" xfId="4966"/>
    <cellStyle name="Normal 2 3" xfId="49"/>
    <cellStyle name="Normal 2 3 2" xfId="5057"/>
    <cellStyle name="Normal 2 4" xfId="46"/>
    <cellStyle name="Normal 2 7" xfId="5107"/>
    <cellStyle name="Normal 2_BANG4" xfId="5110"/>
    <cellStyle name="Normal 20" xfId="5056"/>
    <cellStyle name="Normal 21" xfId="5108"/>
    <cellStyle name="Normal 213" xfId="4096"/>
    <cellStyle name="Normal 218" xfId="4097"/>
    <cellStyle name="Normal 22" xfId="5113"/>
    <cellStyle name="Normal 223" xfId="4098"/>
    <cellStyle name="Normal 225" xfId="4099"/>
    <cellStyle name="Normal 232" xfId="4100"/>
    <cellStyle name="Normal 234" xfId="4101"/>
    <cellStyle name="Normal 238" xfId="4102"/>
    <cellStyle name="Normal 240" xfId="4103"/>
    <cellStyle name="Normal 253" xfId="4104"/>
    <cellStyle name="Normal 27" xfId="4105"/>
    <cellStyle name="Normal 3" xfId="50"/>
    <cellStyle name="Normal 3 2" xfId="51"/>
    <cellStyle name="Normal 3 3" xfId="52"/>
    <cellStyle name="Normal 3 4" xfId="4106"/>
    <cellStyle name="Normal 3 5" xfId="4964"/>
    <cellStyle name="Normal 3_Sheet1" xfId="4967"/>
    <cellStyle name="Normal 302" xfId="4107"/>
    <cellStyle name="Normal 303" xfId="4108"/>
    <cellStyle name="Normal 31" xfId="4109"/>
    <cellStyle name="Normal 339" xfId="4110"/>
    <cellStyle name="Normal 34" xfId="4111"/>
    <cellStyle name="Normal 340" xfId="4112"/>
    <cellStyle name="Normal 341" xfId="4113"/>
    <cellStyle name="Normal 342" xfId="4114"/>
    <cellStyle name="Normal 345" xfId="4115"/>
    <cellStyle name="Normal 346" xfId="4116"/>
    <cellStyle name="Normal 35" xfId="4117"/>
    <cellStyle name="Normal 352" xfId="4118"/>
    <cellStyle name="Normal 37" xfId="4119"/>
    <cellStyle name="Normal 387" xfId="4120"/>
    <cellStyle name="Normal 4" xfId="53"/>
    <cellStyle name="Normal 4 2" xfId="4121"/>
    <cellStyle name="Normal 4 3" xfId="4965"/>
    <cellStyle name="Normal 419" xfId="4122"/>
    <cellStyle name="Normal 44" xfId="4123"/>
    <cellStyle name="Normal 46" xfId="4124"/>
    <cellStyle name="Normal 48" xfId="4125"/>
    <cellStyle name="Normal 5" xfId="54"/>
    <cellStyle name="Normal 5 2" xfId="76"/>
    <cellStyle name="Normal 5 3" xfId="5100"/>
    <cellStyle name="Normal 5 4" xfId="5104"/>
    <cellStyle name="Normal 57" xfId="4126"/>
    <cellStyle name="Normal 58" xfId="4127"/>
    <cellStyle name="Normal 6" xfId="55"/>
    <cellStyle name="Normal 6 2" xfId="4128"/>
    <cellStyle name="Normal 7" xfId="56"/>
    <cellStyle name="Normal 7 2" xfId="4129"/>
    <cellStyle name="Normal 76" xfId="4130"/>
    <cellStyle name="Normal 77" xfId="4131"/>
    <cellStyle name="Normal 8" xfId="4"/>
    <cellStyle name="Normal 82" xfId="4132"/>
    <cellStyle name="Normal 9" xfId="65"/>
    <cellStyle name="Normal 92" xfId="4133"/>
    <cellStyle name="Normal 93" xfId="4134"/>
    <cellStyle name="Normal_Bảng tổng hợp khối lượng  còn lại DT.887  (a Bình)" xfId="72"/>
    <cellStyle name="Normál_Ncong TD Can Gio" xfId="4135"/>
    <cellStyle name="Normal_PTDG_3" xfId="4961"/>
    <cellStyle name="Normal_Sheet1" xfId="4960"/>
    <cellStyle name="Normal_Sheet14" xfId="73"/>
    <cellStyle name="Normal_Thanh toan dot 1 (22-8-2012)" xfId="71"/>
    <cellStyle name="Normal_Thống kê thép" xfId="4136"/>
    <cellStyle name="Normal1" xfId="4137"/>
    <cellStyle name="Normal2" xfId="4138"/>
    <cellStyle name="Normalny_Cennik obowiazuje od 06-08-2001 r (1)" xfId="4139"/>
    <cellStyle name="Note 2" xfId="5095"/>
    <cellStyle name="NWM" xfId="4140"/>
    <cellStyle name="Œ…‹æØ‚è [0.00]_laroux" xfId="4141"/>
    <cellStyle name="Œ…‹æØ‚è_laroux" xfId="4142"/>
    <cellStyle name="oft Excel]_x000d_&#10;Comment=The open=/f lines load custom functions into the Paste Function list._x000d_&#10;Maximized=2_x000d_&#10;Basics=1_x000d_&#10;A" xfId="4143"/>
    <cellStyle name="oft Excel]_x000d_&#10;Comment=The open=/f lines load custom functions into the Paste Function list._x000d_&#10;Maximized=3_x000d_&#10;Basics=1_x000d_&#10;A" xfId="4144"/>
    <cellStyle name="omma [0]_Mktg Prog" xfId="4145"/>
    <cellStyle name="ormal_Sheet1_1" xfId="4146"/>
    <cellStyle name="Output 2" xfId="5096"/>
    <cellStyle name="Pattern" xfId="4147"/>
    <cellStyle name="per.style" xfId="4148"/>
    <cellStyle name="Percent [0]" xfId="4149"/>
    <cellStyle name="Percent [00]" xfId="4150"/>
    <cellStyle name="Percent [2]" xfId="4151"/>
    <cellStyle name="Percent 2" xfId="77"/>
    <cellStyle name="Percent 3" xfId="4152"/>
    <cellStyle name="Percent 4" xfId="4153"/>
    <cellStyle name="PERCENTAGE" xfId="4154"/>
    <cellStyle name="phi" xfId="4155"/>
    <cellStyle name="Phong" xfId="4156"/>
    <cellStyle name="PrePop Currency (0)" xfId="4157"/>
    <cellStyle name="PrePop Currency (2)" xfId="4158"/>
    <cellStyle name="PrePop Units (0)" xfId="4159"/>
    <cellStyle name="PrePop Units (1)" xfId="4160"/>
    <cellStyle name="PrePop Units (2)" xfId="4161"/>
    <cellStyle name="RedComma[0]" xfId="4162"/>
    <cellStyle name="regstoresfromspecstores" xfId="4163"/>
    <cellStyle name="RevList" xfId="4164"/>
    <cellStyle name="S—_x0008_" xfId="4165"/>
    <cellStyle name="S—_x0008_??????????????????‚_x0001_????&lt;i·0??????????_x0007_?_x0010__x0001_??PrintDT??9JS—_x0008_?????????????" xfId="4166"/>
    <cellStyle name="s]_x000d_&#10;spooler=yes_x000d_&#10;load=_x000d_&#10;Beep=yes_x000d_&#10;NullPort=None_x000d_&#10;BorderWidth=3_x000d_&#10;CursorBlinkRate=1200_x000d_&#10;DoubleClickSpeed=452_x000d_&#10;Programs=co" xfId="4167"/>
    <cellStyle name="S—_x0008__1" xfId="4168"/>
    <cellStyle name="s1" xfId="4169"/>
    <cellStyle name="SAPBEXaggData" xfId="4170"/>
    <cellStyle name="SAPBEXaggDataEmph" xfId="4171"/>
    <cellStyle name="SAPBEXaggItem" xfId="4172"/>
    <cellStyle name="SAPBEXchaText" xfId="4173"/>
    <cellStyle name="SAPBEXexcBad7" xfId="4174"/>
    <cellStyle name="SAPBEXexcBad8" xfId="4175"/>
    <cellStyle name="SAPBEXexcBad9" xfId="4176"/>
    <cellStyle name="SAPBEXexcCritical4" xfId="4177"/>
    <cellStyle name="SAPBEXexcCritical5" xfId="4178"/>
    <cellStyle name="SAPBEXexcCritical6" xfId="4179"/>
    <cellStyle name="SAPBEXexcGood1" xfId="4180"/>
    <cellStyle name="SAPBEXexcGood2" xfId="4181"/>
    <cellStyle name="SAPBEXexcGood3" xfId="4182"/>
    <cellStyle name="SAPBEXfilterDrill" xfId="4183"/>
    <cellStyle name="SAPBEXfilterItem" xfId="4184"/>
    <cellStyle name="SAPBEXfilterText" xfId="4185"/>
    <cellStyle name="SAPBEXformats" xfId="4186"/>
    <cellStyle name="SAPBEXheaderItem" xfId="4187"/>
    <cellStyle name="SAPBEXheaderText" xfId="4188"/>
    <cellStyle name="SAPBEXresData" xfId="4189"/>
    <cellStyle name="SAPBEXresDataEmph" xfId="4190"/>
    <cellStyle name="SAPBEXresItem" xfId="4191"/>
    <cellStyle name="SAPBEXstdData" xfId="4192"/>
    <cellStyle name="SAPBEXstdDataEmph" xfId="4193"/>
    <cellStyle name="SAPBEXstdItem" xfId="4194"/>
    <cellStyle name="SAPBEXtitle" xfId="4195"/>
    <cellStyle name="SAPBEXundefined" xfId="4196"/>
    <cellStyle name="SHADEDSTORES" xfId="4197"/>
    <cellStyle name="Siêu nối kết_Book1" xfId="4198"/>
    <cellStyle name="so" xfId="4199"/>
    <cellStyle name="songuyen" xfId="4200"/>
    <cellStyle name="specstores" xfId="4201"/>
    <cellStyle name="st1" xfId="4202"/>
    <cellStyle name="st2" xfId="4203"/>
    <cellStyle name="Standard" xfId="4204"/>
    <cellStyle name="STTDG" xfId="4205"/>
    <cellStyle name="Style 1" xfId="57"/>
    <cellStyle name="Style 10" xfId="4206"/>
    <cellStyle name="Style 100" xfId="4207"/>
    <cellStyle name="Style 101" xfId="4208"/>
    <cellStyle name="Style 102" xfId="4209"/>
    <cellStyle name="Style 103" xfId="4210"/>
    <cellStyle name="Style 104" xfId="4211"/>
    <cellStyle name="Style 105" xfId="4212"/>
    <cellStyle name="Style 106" xfId="4213"/>
    <cellStyle name="Style 107" xfId="4214"/>
    <cellStyle name="Style 108" xfId="4215"/>
    <cellStyle name="Style 109" xfId="4216"/>
    <cellStyle name="Style 11" xfId="4217"/>
    <cellStyle name="Style 110" xfId="4218"/>
    <cellStyle name="Style 111" xfId="4219"/>
    <cellStyle name="Style 112" xfId="4220"/>
    <cellStyle name="Style 113" xfId="4221"/>
    <cellStyle name="Style 114" xfId="4222"/>
    <cellStyle name="Style 115" xfId="4223"/>
    <cellStyle name="Style 116" xfId="4224"/>
    <cellStyle name="Style 117" xfId="4225"/>
    <cellStyle name="Style 118" xfId="4226"/>
    <cellStyle name="Style 119" xfId="4227"/>
    <cellStyle name="Style 12" xfId="4228"/>
    <cellStyle name="Style 120" xfId="4229"/>
    <cellStyle name="Style 121" xfId="4230"/>
    <cellStyle name="Style 122" xfId="4231"/>
    <cellStyle name="Style 123" xfId="4232"/>
    <cellStyle name="Style 124" xfId="4233"/>
    <cellStyle name="Style 125" xfId="4234"/>
    <cellStyle name="Style 126" xfId="4235"/>
    <cellStyle name="Style 127" xfId="4236"/>
    <cellStyle name="Style 128" xfId="4237"/>
    <cellStyle name="Style 129" xfId="4238"/>
    <cellStyle name="Style 13" xfId="4239"/>
    <cellStyle name="Style 130" xfId="4240"/>
    <cellStyle name="Style 131" xfId="4241"/>
    <cellStyle name="Style 132" xfId="4242"/>
    <cellStyle name="Style 133" xfId="4243"/>
    <cellStyle name="Style 134" xfId="4244"/>
    <cellStyle name="Style 135" xfId="4245"/>
    <cellStyle name="Style 136" xfId="4246"/>
    <cellStyle name="Style 137" xfId="4247"/>
    <cellStyle name="Style 138" xfId="4248"/>
    <cellStyle name="Style 139" xfId="4249"/>
    <cellStyle name="Style 14" xfId="4250"/>
    <cellStyle name="Style 140" xfId="4251"/>
    <cellStyle name="Style 141" xfId="4252"/>
    <cellStyle name="Style 142" xfId="4253"/>
    <cellStyle name="Style 143" xfId="4254"/>
    <cellStyle name="Style 144" xfId="4255"/>
    <cellStyle name="Style 145" xfId="4256"/>
    <cellStyle name="Style 146" xfId="4257"/>
    <cellStyle name="Style 147" xfId="4258"/>
    <cellStyle name="Style 148" xfId="4259"/>
    <cellStyle name="Style 149" xfId="4260"/>
    <cellStyle name="Style 15" xfId="4261"/>
    <cellStyle name="Style 150" xfId="4262"/>
    <cellStyle name="Style 151" xfId="4263"/>
    <cellStyle name="Style 152" xfId="4264"/>
    <cellStyle name="Style 153" xfId="4265"/>
    <cellStyle name="Style 154" xfId="4266"/>
    <cellStyle name="Style 155" xfId="4267"/>
    <cellStyle name="Style 156" xfId="4268"/>
    <cellStyle name="Style 157" xfId="4269"/>
    <cellStyle name="Style 158" xfId="4270"/>
    <cellStyle name="Style 159" xfId="4271"/>
    <cellStyle name="Style 16" xfId="4272"/>
    <cellStyle name="Style 160" xfId="4273"/>
    <cellStyle name="Style 161" xfId="4274"/>
    <cellStyle name="Style 162" xfId="4275"/>
    <cellStyle name="Style 163" xfId="4276"/>
    <cellStyle name="Style 164" xfId="4277"/>
    <cellStyle name="Style 165" xfId="4278"/>
    <cellStyle name="Style 166" xfId="4279"/>
    <cellStyle name="Style 167" xfId="4280"/>
    <cellStyle name="Style 168" xfId="4281"/>
    <cellStyle name="Style 169" xfId="4282"/>
    <cellStyle name="Style 17" xfId="4283"/>
    <cellStyle name="Style 170" xfId="4284"/>
    <cellStyle name="Style 171" xfId="4285"/>
    <cellStyle name="Style 172" xfId="4286"/>
    <cellStyle name="Style 173" xfId="4287"/>
    <cellStyle name="Style 174" xfId="4288"/>
    <cellStyle name="Style 175" xfId="4289"/>
    <cellStyle name="Style 176" xfId="4290"/>
    <cellStyle name="Style 177" xfId="4291"/>
    <cellStyle name="Style 178" xfId="4292"/>
    <cellStyle name="Style 179" xfId="4293"/>
    <cellStyle name="Style 18" xfId="4294"/>
    <cellStyle name="Style 180" xfId="4295"/>
    <cellStyle name="Style 181" xfId="4296"/>
    <cellStyle name="Style 182" xfId="4297"/>
    <cellStyle name="Style 183" xfId="4298"/>
    <cellStyle name="Style 184" xfId="4299"/>
    <cellStyle name="Style 185" xfId="4300"/>
    <cellStyle name="Style 186" xfId="4301"/>
    <cellStyle name="Style 187" xfId="4302"/>
    <cellStyle name="Style 188" xfId="4303"/>
    <cellStyle name="Style 189" xfId="4304"/>
    <cellStyle name="Style 19" xfId="4305"/>
    <cellStyle name="Style 190" xfId="4306"/>
    <cellStyle name="Style 191" xfId="4307"/>
    <cellStyle name="Style 192" xfId="4308"/>
    <cellStyle name="Style 193" xfId="4309"/>
    <cellStyle name="Style 194" xfId="4310"/>
    <cellStyle name="Style 195" xfId="4311"/>
    <cellStyle name="Style 196" xfId="4312"/>
    <cellStyle name="Style 197" xfId="4313"/>
    <cellStyle name="Style 198" xfId="4314"/>
    <cellStyle name="Style 199" xfId="4315"/>
    <cellStyle name="Style 2" xfId="4316"/>
    <cellStyle name="Style 20" xfId="4317"/>
    <cellStyle name="Style 200" xfId="4318"/>
    <cellStyle name="Style 201" xfId="4319"/>
    <cellStyle name="Style 202" xfId="4320"/>
    <cellStyle name="Style 203" xfId="4321"/>
    <cellStyle name="Style 204" xfId="4322"/>
    <cellStyle name="Style 205" xfId="4323"/>
    <cellStyle name="Style 206" xfId="4324"/>
    <cellStyle name="Style 207" xfId="4325"/>
    <cellStyle name="Style 208" xfId="4326"/>
    <cellStyle name="Style 209" xfId="4327"/>
    <cellStyle name="Style 21" xfId="4328"/>
    <cellStyle name="Style 210" xfId="4329"/>
    <cellStyle name="Style 211" xfId="4330"/>
    <cellStyle name="Style 212" xfId="4331"/>
    <cellStyle name="Style 213" xfId="4332"/>
    <cellStyle name="Style 214" xfId="4333"/>
    <cellStyle name="Style 215" xfId="4334"/>
    <cellStyle name="Style 216" xfId="4335"/>
    <cellStyle name="Style 217" xfId="4336"/>
    <cellStyle name="Style 218" xfId="4337"/>
    <cellStyle name="Style 219" xfId="4338"/>
    <cellStyle name="Style 22" xfId="4339"/>
    <cellStyle name="Style 220" xfId="4340"/>
    <cellStyle name="Style 221" xfId="4341"/>
    <cellStyle name="Style 222" xfId="4342"/>
    <cellStyle name="Style 223" xfId="4343"/>
    <cellStyle name="Style 224" xfId="4344"/>
    <cellStyle name="Style 225" xfId="4345"/>
    <cellStyle name="Style 226" xfId="4346"/>
    <cellStyle name="Style 227" xfId="4347"/>
    <cellStyle name="Style 228" xfId="4348"/>
    <cellStyle name="Style 229" xfId="4349"/>
    <cellStyle name="Style 23" xfId="4350"/>
    <cellStyle name="Style 230" xfId="4351"/>
    <cellStyle name="Style 231" xfId="4352"/>
    <cellStyle name="Style 232" xfId="4353"/>
    <cellStyle name="Style 233" xfId="4354"/>
    <cellStyle name="Style 234" xfId="4355"/>
    <cellStyle name="Style 235" xfId="4356"/>
    <cellStyle name="Style 236" xfId="4357"/>
    <cellStyle name="Style 237" xfId="4358"/>
    <cellStyle name="Style 238" xfId="4359"/>
    <cellStyle name="Style 239" xfId="4360"/>
    <cellStyle name="Style 24" xfId="4361"/>
    <cellStyle name="Style 240" xfId="4362"/>
    <cellStyle name="Style 241" xfId="4363"/>
    <cellStyle name="Style 242" xfId="4364"/>
    <cellStyle name="Style 243" xfId="4365"/>
    <cellStyle name="Style 244" xfId="4366"/>
    <cellStyle name="Style 245" xfId="4367"/>
    <cellStyle name="Style 246" xfId="4368"/>
    <cellStyle name="Style 247" xfId="4369"/>
    <cellStyle name="Style 248" xfId="4370"/>
    <cellStyle name="Style 249" xfId="4371"/>
    <cellStyle name="Style 25" xfId="4372"/>
    <cellStyle name="Style 250" xfId="4373"/>
    <cellStyle name="Style 251" xfId="4374"/>
    <cellStyle name="Style 252" xfId="4375"/>
    <cellStyle name="Style 253" xfId="4376"/>
    <cellStyle name="Style 254" xfId="4377"/>
    <cellStyle name="Style 255" xfId="4378"/>
    <cellStyle name="Style 26" xfId="4379"/>
    <cellStyle name="Style 27" xfId="4380"/>
    <cellStyle name="Style 28" xfId="4381"/>
    <cellStyle name="Style 29" xfId="4382"/>
    <cellStyle name="Style 3" xfId="4383"/>
    <cellStyle name="Style 30" xfId="4384"/>
    <cellStyle name="Style 31" xfId="4385"/>
    <cellStyle name="Style 32" xfId="4386"/>
    <cellStyle name="Style 33" xfId="4387"/>
    <cellStyle name="Style 34" xfId="4388"/>
    <cellStyle name="Style 35" xfId="4389"/>
    <cellStyle name="Style 36" xfId="4390"/>
    <cellStyle name="Style 37" xfId="4391"/>
    <cellStyle name="Style 38" xfId="4392"/>
    <cellStyle name="Style 39" xfId="4393"/>
    <cellStyle name="Style 4" xfId="4394"/>
    <cellStyle name="Style 40" xfId="4395"/>
    <cellStyle name="Style 41" xfId="4396"/>
    <cellStyle name="Style 42" xfId="4397"/>
    <cellStyle name="Style 43" xfId="4398"/>
    <cellStyle name="Style 44" xfId="4399"/>
    <cellStyle name="Style 45" xfId="4400"/>
    <cellStyle name="Style 46" xfId="4401"/>
    <cellStyle name="Style 47" xfId="4402"/>
    <cellStyle name="Style 48" xfId="4403"/>
    <cellStyle name="Style 49" xfId="4404"/>
    <cellStyle name="Style 5" xfId="4405"/>
    <cellStyle name="Style 50" xfId="4406"/>
    <cellStyle name="Style 51" xfId="4407"/>
    <cellStyle name="Style 52" xfId="4408"/>
    <cellStyle name="Style 53" xfId="4409"/>
    <cellStyle name="Style 54" xfId="4410"/>
    <cellStyle name="Style 55" xfId="4411"/>
    <cellStyle name="Style 56" xfId="4412"/>
    <cellStyle name="Style 57" xfId="4413"/>
    <cellStyle name="Style 58" xfId="4414"/>
    <cellStyle name="Style 59" xfId="4415"/>
    <cellStyle name="Style 6" xfId="4416"/>
    <cellStyle name="Style 60" xfId="4417"/>
    <cellStyle name="Style 61" xfId="4418"/>
    <cellStyle name="Style 62" xfId="4419"/>
    <cellStyle name="Style 63" xfId="4420"/>
    <cellStyle name="Style 64" xfId="4421"/>
    <cellStyle name="Style 65" xfId="4422"/>
    <cellStyle name="Style 66" xfId="4423"/>
    <cellStyle name="Style 67" xfId="4424"/>
    <cellStyle name="Style 68" xfId="4425"/>
    <cellStyle name="Style 69" xfId="4426"/>
    <cellStyle name="Style 7" xfId="4427"/>
    <cellStyle name="Style 70" xfId="4428"/>
    <cellStyle name="Style 71" xfId="4429"/>
    <cellStyle name="Style 72" xfId="4430"/>
    <cellStyle name="Style 73" xfId="4431"/>
    <cellStyle name="Style 74" xfId="4432"/>
    <cellStyle name="Style 75" xfId="4433"/>
    <cellStyle name="Style 76" xfId="4434"/>
    <cellStyle name="Style 77" xfId="4435"/>
    <cellStyle name="Style 78" xfId="4436"/>
    <cellStyle name="Style 79" xfId="4437"/>
    <cellStyle name="Style 8" xfId="4438"/>
    <cellStyle name="Style 80" xfId="4439"/>
    <cellStyle name="Style 81" xfId="4440"/>
    <cellStyle name="Style 82" xfId="4441"/>
    <cellStyle name="Style 83" xfId="4442"/>
    <cellStyle name="Style 84" xfId="4443"/>
    <cellStyle name="Style 85" xfId="4444"/>
    <cellStyle name="Style 86" xfId="4445"/>
    <cellStyle name="Style 87" xfId="4446"/>
    <cellStyle name="Style 88" xfId="4447"/>
    <cellStyle name="Style 89" xfId="4448"/>
    <cellStyle name="Style 9" xfId="4449"/>
    <cellStyle name="Style 90" xfId="4450"/>
    <cellStyle name="Style 91" xfId="4451"/>
    <cellStyle name="Style 92" xfId="4452"/>
    <cellStyle name="Style 93" xfId="4453"/>
    <cellStyle name="Style 94" xfId="4454"/>
    <cellStyle name="Style 95" xfId="4455"/>
    <cellStyle name="Style 96" xfId="4456"/>
    <cellStyle name="Style 97" xfId="4457"/>
    <cellStyle name="Style 98" xfId="4458"/>
    <cellStyle name="Style 99" xfId="4459"/>
    <cellStyle name="Style Date" xfId="4460"/>
    <cellStyle name="style_1" xfId="4461"/>
    <cellStyle name="subhead" xfId="4462"/>
    <cellStyle name="Subtotal" xfId="4463"/>
    <cellStyle name="symbol" xfId="4464"/>
    <cellStyle name="T" xfId="4465"/>
    <cellStyle name="T_( C342-C407)" xfId="4466"/>
    <cellStyle name="T_( C342-C407)_03 cống Sơn Đông" xfId="4467"/>
    <cellStyle name="T_( C342-C407)_Công tác đất (tổ 1)" xfId="4468"/>
    <cellStyle name="T_( C342-C407)_Công tác đất (tổ 3)" xfId="4469"/>
    <cellStyle name="T_( C342-C407)_CVXD đào đắp_thi công đê" xfId="4470"/>
    <cellStyle name="T_( C342-C407)_CVXD đê và gia cố đê" xfId="4471"/>
    <cellStyle name="T_( C342-C407)_CVXD gia cố_cống dưới đê" xfId="4472"/>
    <cellStyle name="T_( C342-C407)_CVXD gia cố_cống dưới đê_Khối lượng hoàn thành" xfId="4473"/>
    <cellStyle name="T_( C342-C407)_Đợt 1 (Sơn Đông)" xfId="4474"/>
    <cellStyle name="T_( C342-C407)_Đợt 1 (Sơn Đông)_03 cống Sơn Đông" xfId="4475"/>
    <cellStyle name="T_( C342-C407)_Đợt cuối (Sơn Đồng)" xfId="4476"/>
    <cellStyle name="T_( C342-C407)_Khối lượng hoàn thành" xfId="4477"/>
    <cellStyle name="T_03 cống Sơn Đông" xfId="4478"/>
    <cellStyle name="T_1" xfId="4479"/>
    <cellStyle name="T_1 DT CONG BTCT Þ1000" xfId="4480"/>
    <cellStyle name="T_1 DTKS Quoi Thien" xfId="4481"/>
    <cellStyle name="T_1. Du Toan HTGT+HTTN (27-5)" xfId="4482"/>
    <cellStyle name="T_1. Du Toan HTGT+HTTN (5-6)" xfId="4483"/>
    <cellStyle name="T_1. Du Toan HTGT+HTTN lien" xfId="4484"/>
    <cellStyle name="T_11 PA1 (Hoa Kieng)" xfId="4485"/>
    <cellStyle name="T_2 DT CONG BTCT Þ1000 - goi thau 2-t1 ook" xfId="4486"/>
    <cellStyle name="T_4 CHI PHI CAM MOC GPMB" xfId="4487"/>
    <cellStyle name="T_4 TONG DU TOAN (3-2012)" xfId="4488"/>
    <cellStyle name="T_Au-De cuong va du toan Cau Số 2 phuoc long" xfId="4489"/>
    <cellStyle name="T_Au-De cuong va du toan CS-NQ" xfId="4490"/>
    <cellStyle name="T_Au-De_cuong_va_du_toan_Hoa_Binh" xfId="4491"/>
    <cellStyle name="T_BANG NOI SUY cho 6.4ha" xfId="4492"/>
    <cellStyle name="T_BANG TOA DO" xfId="4493"/>
    <cellStyle name="T_BANG TOA DO_dao huu co DONG DO tu Km16+453.33 den Km16+984.25" xfId="4494"/>
    <cellStyle name="T_Book1" xfId="4495"/>
    <cellStyle name="T_Book1_1" xfId="4496"/>
    <cellStyle name="T_Book1_1 DT CONG BTCT Þ1000" xfId="4497"/>
    <cellStyle name="T_Book1_1 DTKS Quoi Thien" xfId="4498"/>
    <cellStyle name="T_Book1_1. Du Toan HTGT+HTTN (27-5)" xfId="4499"/>
    <cellStyle name="T_Book1_1. Du Toan HTGT+HTTN (5-6)" xfId="4500"/>
    <cellStyle name="T_Book1_1. Du Toan HTGT+HTTN lien" xfId="4501"/>
    <cellStyle name="T_Book1_1_1" xfId="4502"/>
    <cellStyle name="T_Book1_1_2.DT_CONG_MY SON DONG_ DC SAU THAM DINH" xfId="4503"/>
    <cellStyle name="T_Book1_1_2.DT_CONG_MY SON DONG_ DC SAU THAM DINH_1" xfId="4504"/>
    <cellStyle name="T_Book1_1_baocaoHT ve UBND TinhVPUB1005" xfId="4505"/>
    <cellStyle name="T_Book1_1_baocaoHT ve UBND TinhVPUB1005_1" xfId="4506"/>
    <cellStyle name="T_Book1_1_Book1" xfId="4507"/>
    <cellStyle name="T_Book1_1_Book1_1" xfId="4508"/>
    <cellStyle name="T_Book1_1_Book1_KHAO SAT TRA VINH" xfId="4509"/>
    <cellStyle name="T_Book1_1_DT - TAN PHU TAY A " xfId="4510"/>
    <cellStyle name="T_Book1_1_DT - TAN PHU TAY A _1" xfId="4511"/>
    <cellStyle name="T_Book1_1_DU TOAN MAU" xfId="4512"/>
    <cellStyle name="T_Book1_1_DU TOAN MAU_1" xfId="4513"/>
    <cellStyle name="T_Book1_1_DU TOAN MAU_2.DT_CONG_MY SON DONG_ DC SAU THAM DINH" xfId="4514"/>
    <cellStyle name="T_Book1_1_DU TOAN MAU_2.DT_CONG_MY SON DONG_ DC SAU THAM DINH_1" xfId="4515"/>
    <cellStyle name="T_Book1_1_KHAO SAT" xfId="4516"/>
    <cellStyle name="T_Book1_1_KHAO SAT TRA VINH" xfId="4517"/>
    <cellStyle name="T_Book1_1_KHOI LUONG DE CUC BO CAI TAC - THANH DIEN" xfId="4518"/>
    <cellStyle name="T_Book1_1_KHOI LUONG DE CUC BO CAI TAC - THANH DIEN_1" xfId="4519"/>
    <cellStyle name="T_Book1_1_SO TOAN KHOI LUONG DE DAI DIEN" xfId="4520"/>
    <cellStyle name="T_Book1_1_SO TOAN KHOI LUONG DE DAI DIEN_1" xfId="4521"/>
    <cellStyle name="T_Book1_1_STKL NGACAITRONG" xfId="4522"/>
    <cellStyle name="T_Book1_2" xfId="4523"/>
    <cellStyle name="T_Book1_2 DT CONG BTCT Þ1000 - goi thau 2-t1 ook" xfId="4524"/>
    <cellStyle name="T_Book1_2.DT_CONG_MY SON DONG_ DC SAU THAM DINH" xfId="4525"/>
    <cellStyle name="T_Book1_2.DT_CONG_MY SON DONG_ DC SAU THAM DINH_1" xfId="4526"/>
    <cellStyle name="T_Book1_2_1" xfId="4527"/>
    <cellStyle name="T_Book1_2_2.DT_CONG_MY SON DONG_ DC SAU THAM DINH" xfId="4528"/>
    <cellStyle name="T_Book1_2_2.DT_CONG_MY SON DONG_ DC SAU THAM DINH_1" xfId="4529"/>
    <cellStyle name="T_Book1_2_DT - TAN PHU TAY A " xfId="4530"/>
    <cellStyle name="T_Book1_2_DT - TAN PHU TAY A _1" xfId="4531"/>
    <cellStyle name="T_Book1_2_DU TOAN MAU" xfId="4532"/>
    <cellStyle name="T_Book1_2_DU TOAN MAU_1" xfId="4533"/>
    <cellStyle name="T_Book1_2_KHOI LUONG DE CUC BO CAI TAC - THANH DIEN" xfId="4534"/>
    <cellStyle name="T_Book1_2_KHOI LUONG DE CUC BO CAI TAC - THANH DIEN_1" xfId="4535"/>
    <cellStyle name="T_Book1_2_SO TOAN KHOI LUONG DE DAI DIEN" xfId="4536"/>
    <cellStyle name="T_Book1_2_SO TOAN KHOI LUONG DE DAI DIEN_1" xfId="4537"/>
    <cellStyle name="T_Book1_4 CHI PHI CAM MOC GPMB" xfId="4538"/>
    <cellStyle name="T_Book1_4 TONG DU TOAN (3-2012)" xfId="4539"/>
    <cellStyle name="T_Book1_Au-De cuong va du toan Cau Số 2 phuoc long" xfId="4540"/>
    <cellStyle name="T_Book1_Au-De_cuong_va_du_toan_Hoa_Binh" xfId="4541"/>
    <cellStyle name="T_Book1_Book1" xfId="4542"/>
    <cellStyle name="T_Book1_Book1_1" xfId="4543"/>
    <cellStyle name="T_Book1_Book1_Book1" xfId="4544"/>
    <cellStyle name="T_Book1_Book1_Book1_1" xfId="4545"/>
    <cellStyle name="T_Book1_Book1_KHAO SAT" xfId="4546"/>
    <cellStyle name="T_Book1_Book1_KHAO SAT TRA VINH" xfId="4547"/>
    <cellStyle name="T_Book1_Book2" xfId="4548"/>
    <cellStyle name="T_Book1_Book2_1" xfId="4549"/>
    <cellStyle name="T_Book1_Book2_2.DT_CONG_MY SON DONG_ DC SAU THAM DINH" xfId="4550"/>
    <cellStyle name="T_Book1_Book2_2.DT_CONG_MY SON DONG_ DC SAU THAM DINH_1" xfId="4551"/>
    <cellStyle name="T_Book1_Book2_DT - TAN PHU TAY A " xfId="4552"/>
    <cellStyle name="T_Book1_Book2_DT - TAN PHU TAY A _1" xfId="4553"/>
    <cellStyle name="T_Book1_Book2_KHOI LUONG DE CUC BO CAI TAC - THANH DIEN" xfId="4554"/>
    <cellStyle name="T_Book1_Book2_KHOI LUONG DE CUC BO CAI TAC - THANH DIEN_1" xfId="4555"/>
    <cellStyle name="T_Book1_Book2_SO TOAN KHOI LUONG DE DAI DIEN" xfId="4556"/>
    <cellStyle name="T_Book1_Book2_SO TOAN KHOI LUONG DE DAI DIEN_1" xfId="4557"/>
    <cellStyle name="T_Book1_C CHIN TUYEN" xfId="4558"/>
    <cellStyle name="T_Book1_CAU CHIN TUYEN" xfId="4559"/>
    <cellStyle name="T_Book1_CHI PHI KS GDTK KENH CAU SO 2-PL" xfId="4560"/>
    <cellStyle name="T_Book1_CHI PHI KS GDTK KENH HOA BINH" xfId="4561"/>
    <cellStyle name="T_Book1_CONG NGANG DUONG" xfId="4562"/>
    <cellStyle name="T_Book1_CONG NGANG DUONG -" xfId="4563"/>
    <cellStyle name="T_Book1_Copy of CAU CHIN TUYEN" xfId="4564"/>
    <cellStyle name="T_Book1_da sua - 4 DU TOAN CAU BAN KENH MUONG LO" xfId="4565"/>
    <cellStyle name="T_Book1_DT - TAN PHU TAY A " xfId="4566"/>
    <cellStyle name="T_Book1_DT - TAN PHU TAY A _1" xfId="4567"/>
    <cellStyle name="T_Book1_DT CAU" xfId="4568"/>
    <cellStyle name="T_Book1_DT CAU 7 SUOL-Thamdinh" xfId="4569"/>
    <cellStyle name="T_Book1_DT CAU KIEM LAM-thamdinh" xfId="4570"/>
    <cellStyle name="T_Book1_DT CCAU SO 2" xfId="4571"/>
    <cellStyle name="T_Book1_DT CONG-thamdinh" xfId="4572"/>
    <cellStyle name="T_Book1_DT KENH KHU 2-thamdinh" xfId="4573"/>
    <cellStyle name="T_Book1_DT Nao Vet Kenh Lang Ham" xfId="4574"/>
    <cellStyle name="T_Book1_DT tinh du phong" xfId="4575"/>
    <cellStyle name="T_Book1_DTCT(tinh DP truot gia)" xfId="4576"/>
    <cellStyle name="T_Book1_du toan bo sung TK Krong buk" xfId="4577"/>
    <cellStyle name="T_Book1_Du toan Mau" xfId="4578"/>
    <cellStyle name="T_Book1_DU TOAN MAU_1" xfId="4579"/>
    <cellStyle name="T_Book1_DU TOAN MAU_2.DT_CONG_MY SON DONG_ DC SAU THAM DINH" xfId="4580"/>
    <cellStyle name="T_Book1_DU TOAN MAU_2.DT_CONG_MY SON DONG_ DC SAU THAM DINH_1" xfId="4581"/>
    <cellStyle name="T_Book1_du toan Petro" xfId="4582"/>
    <cellStyle name="T_Book1_duong giong nhan ganh hao - cong ngang duong" xfId="4583"/>
    <cellStyle name="T_Book1_Duong Giong Nhan Ganh Hao - Duong giao thong" xfId="4584"/>
    <cellStyle name="T_Book1_DUONG -GOI THAU 2" xfId="4585"/>
    <cellStyle name="T_Book1_DUONG TUYEN -goi thau 1" xfId="4586"/>
    <cellStyle name="T_Book1_file TDinh" xfId="4587"/>
    <cellStyle name="T_Book1_GIAVLXD092010_1287366083109" xfId="4588"/>
    <cellStyle name="T_Book1_GT21_ CONG TIEU Þ60" xfId="4589"/>
    <cellStyle name="T_Book1_GuiChudautu-20-02-07-Thamtra-KDC-Mthan-TrNoc" xfId="4590"/>
    <cellStyle name="T_Book1_GVL10" xfId="4591"/>
    <cellStyle name="T_Book1_In-LuuGuiCDT-CPBX-13-03-07-THKP-439mDchinh-4T-1N" xfId="4592"/>
    <cellStyle name="T_Book1_KENH T11-1 R" xfId="4593"/>
    <cellStyle name="T_Book1_KENH T11-6(MAU_ISO)" xfId="4594"/>
    <cellStyle name="T_Book1_KHAO SAT" xfId="4595"/>
    <cellStyle name="T_Book1_KHAO SAT TRA VINH" xfId="4596"/>
    <cellStyle name="T_Book1_KHOI LUONG DE CUC BO CAI TAC - THANH DIEN" xfId="4597"/>
    <cellStyle name="T_Book1_KHOI LUONG DE CUC BO CAI TAC - THANH DIEN_1" xfId="4598"/>
    <cellStyle name="T_Book1_KL-DH" xfId="4599"/>
    <cellStyle name="T_Book1_KL-DH_1" xfId="4600"/>
    <cellStyle name="T_Book1_KL-DHDM" xfId="4601"/>
    <cellStyle name="T_Book1_KL-DHDM_1" xfId="4602"/>
    <cellStyle name="T_Book1_KL-DHK" xfId="4603"/>
    <cellStyle name="T_Book1_KL-DHK_1" xfId="4604"/>
    <cellStyle name="T_Book1_KS - DE BAO SONG CAI OT" xfId="4605"/>
    <cellStyle name="T_Book1_KS - DE BAO SONG CAI OT_1" xfId="4606"/>
    <cellStyle name="T_Book1_KS - DE BAOCAI TAT - THANH DIEN" xfId="4607"/>
    <cellStyle name="T_Book1_KS - DE BAOCAI TAT - THANH DIEN_1" xfId="4608"/>
    <cellStyle name="T_Book1_KS - DE LAN NAM_CHO LACH" xfId="4609"/>
    <cellStyle name="T_Book1_KS - DE LAN NAM_CHO LACH_1" xfId="4610"/>
    <cellStyle name="T_Book1_KS - DE LAN NAM_CHO LACH_AD" xfId="4611"/>
    <cellStyle name="T_Book1_KS - DE LAN NAM_CHO LACH_AD_1" xfId="4612"/>
    <cellStyle name="T_Book1_KS - DE VEN SONG HAM LUONG_DAI DIEN " xfId="4613"/>
    <cellStyle name="T_Book1_KS - DE VEN SONG HAM LUONG_DAI DIEN _1" xfId="4614"/>
    <cellStyle name="T_Book1_QD so 957" xfId="4615"/>
    <cellStyle name="T_Book1_SO TOAN KHOI LUONG DE DAI DIEN" xfId="4616"/>
    <cellStyle name="T_Book1_SO TOAN KHOI LUONG DE DAI DIEN_1" xfId="4617"/>
    <cellStyle name="T_Book1_TDT KhThai  10097 TTr 120907 lan3 nop A" xfId="4618"/>
    <cellStyle name="T_Book1_th" xfId="4619"/>
    <cellStyle name="T_Book1_THDT" xfId="4620"/>
    <cellStyle name="T_Book1_THDTGOI 21" xfId="4621"/>
    <cellStyle name="T_Book1_THKP DAI TRUYEN THANH" xfId="4622"/>
    <cellStyle name="T_Book1_THKP DAI TRUYEN THANH_1" xfId="4623"/>
    <cellStyle name="T_Book1_THONG KE THEP" xfId="4624"/>
    <cellStyle name="T_Book1_TINH NOI SUY" xfId="4625"/>
    <cellStyle name="T_Book1_TINH NOI SUY_1" xfId="4626"/>
    <cellStyle name="T_Book1_TK cong" xfId="4627"/>
    <cellStyle name="T_Book1_TONG DU TOAN VINH LONG-PA1" xfId="4628"/>
    <cellStyle name="T_Book1_TONG DU TOAN VINH LONG-PA1_1 DT CONG BTCT Þ1000" xfId="4629"/>
    <cellStyle name="T_Book1_TONG DU TOAN VINH LONG-PA1_2 DT CONG BTCT Þ1000 - goi thau 2-t1 ook" xfId="4630"/>
    <cellStyle name="T_Book1_TONG DU TOAN VINH LONG-PA1_4 TONG DU TOAN (3-2012)" xfId="4631"/>
    <cellStyle name="T_Book1_TONG DU TOAN VINH LONG-PA1_ben pha kenh xang xeo ro-thamdinh" xfId="4632"/>
    <cellStyle name="T_Book1_TONG DU TOAN VINH LONG-PA1_CAU CHIN TUYEN" xfId="4633"/>
    <cellStyle name="T_Book1_TONG DU TOAN VINH LONG-PA1_CONG NGANG DUONG" xfId="4634"/>
    <cellStyle name="T_Book1_TONG DU TOAN VINH LONG-PA1_CONG NGANG DUONG -" xfId="4635"/>
    <cellStyle name="T_Book1_TONG DU TOAN VINH LONG-PA1_da sua - 4 DU TOAN CAU BAN KENH MUONG LO" xfId="4636"/>
    <cellStyle name="T_Book1_TONG DU TOAN VINH LONG-PA1_DT CAU" xfId="4637"/>
    <cellStyle name="T_Book1_TONG DU TOAN VINH LONG-PA1_DT CAU 7 SUOL-Thamdinh" xfId="4638"/>
    <cellStyle name="T_Book1_TONG DU TOAN VINH LONG-PA1_DT CAU KIEM LAM-thamdinh" xfId="4639"/>
    <cellStyle name="T_Book1_TONG DU TOAN VINH LONG-PA1_DT CONG-thamdinh" xfId="4640"/>
    <cellStyle name="T_Book1_TONG DU TOAN VINH LONG-PA1_DT KENH KHU 2-thamdinh" xfId="4641"/>
    <cellStyle name="T_Book1_TONG DU TOAN VINH LONG-PA1_duong giong nhan ganh hao - cong ngang duong" xfId="4642"/>
    <cellStyle name="T_Book1_TONG DU TOAN VINH LONG-PA1_Duong Giong Nhan Ganh Hao - Duong giao thong" xfId="4643"/>
    <cellStyle name="T_Book1_TONG DU TOAN VINH LONG-PA1_DUONG -GOI THAU 2" xfId="4644"/>
    <cellStyle name="T_Book1_TONG DU TOAN VINH LONG-PA1_DUONG TUYEN -goi thau 1" xfId="4645"/>
    <cellStyle name="T_Book1_TONG DU TOAN VINH LONG-PA1_TK cong" xfId="4646"/>
    <cellStyle name="T_C CHIN TUYEN" xfId="4647"/>
    <cellStyle name="T_cao do (C342-C407)" xfId="4648"/>
    <cellStyle name="T_cao do (C342-C407)_03 cống Sơn Đông" xfId="4649"/>
    <cellStyle name="T_cao do (C342-C407)_Công tác đất (tổ 1)" xfId="4650"/>
    <cellStyle name="T_cao do (C342-C407)_Công tác đất (tổ 3)" xfId="4651"/>
    <cellStyle name="T_cao do (C342-C407)_CVXD đào đắp_thi công đê" xfId="4652"/>
    <cellStyle name="T_cao do (C342-C407)_CVXD đê và gia cố đê" xfId="4653"/>
    <cellStyle name="T_cao do (C342-C407)_CVXD gia cố_cống dưới đê" xfId="4654"/>
    <cellStyle name="T_cao do (C342-C407)_CVXD gia cố_cống dưới đê_Khối lượng hoàn thành" xfId="4655"/>
    <cellStyle name="T_cao do (C342-C407)_Đợt 1 (Sơn Đông)" xfId="4656"/>
    <cellStyle name="T_cao do (C342-C407)_Đợt 1 (Sơn Đông)_03 cống Sơn Đông" xfId="4657"/>
    <cellStyle name="T_cao do (C342-C407)_Đợt cuối (Sơn Đồng)" xfId="4658"/>
    <cellStyle name="T_cao do (C342-C407)_Khối lượng hoàn thành" xfId="4659"/>
    <cellStyle name="T_CAU CHIN TUYEN" xfId="4660"/>
    <cellStyle name="T_CAUSAP_NINHQUOI_CHINHXAC" xfId="4661"/>
    <cellStyle name="T_CDKT" xfId="4662"/>
    <cellStyle name="T_CHI PHI KS GDTK KENH CAU SO 2-PL" xfId="4663"/>
    <cellStyle name="T_CHI PHI KS GDTK KENH HOA BINH" xfId="4664"/>
    <cellStyle name="T_CONG 1.5.xls" xfId="4665"/>
    <cellStyle name="T_CONG KENH 12" xfId="4666"/>
    <cellStyle name="T_CONG KENH 12 THI CONG" xfId="4667"/>
    <cellStyle name="T_CONG KENH 14" xfId="4668"/>
    <cellStyle name="T_CONG KENH 17" xfId="4669"/>
    <cellStyle name="T_CONG NGANG DUONG" xfId="4670"/>
    <cellStyle name="T_CONG NGANG DUONG -" xfId="4671"/>
    <cellStyle name="T_Công tác đất (tổ 1)" xfId="4672"/>
    <cellStyle name="T_Công tác đất (tổ 3)" xfId="4673"/>
    <cellStyle name="T_Copy of CAU CHIN TUYEN" xfId="4674"/>
    <cellStyle name="T_CVXD đào đắp_thi công đê" xfId="4675"/>
    <cellStyle name="T_CVXD đê và gia cố đê" xfId="4676"/>
    <cellStyle name="T_CVXD gia cố_cống dưới đê" xfId="4677"/>
    <cellStyle name="T_CVXD gia cố_cống dưới đê_Khối lượng hoàn thành" xfId="4678"/>
    <cellStyle name="T_Da 0-4 887(kich thuoc hh)" xfId="4679"/>
    <cellStyle name="T_Da 0-4 887(kich thuoc hh)_03 cống Sơn Đông" xfId="4680"/>
    <cellStyle name="T_Da 0-4 887(kich thuoc hh)_Công tác đất (tổ 1)" xfId="4681"/>
    <cellStyle name="T_Da 0-4 887(kich thuoc hh)_Công tác đất (tổ 3)" xfId="4682"/>
    <cellStyle name="T_Da 0-4 887(kich thuoc hh)_CVXD đào đắp_thi công đê" xfId="4683"/>
    <cellStyle name="T_Da 0-4 887(kich thuoc hh)_CVXD đê và gia cố đê" xfId="4684"/>
    <cellStyle name="T_Da 0-4 887(kich thuoc hh)_CVXD gia cố_cống dưới đê" xfId="4685"/>
    <cellStyle name="T_Da 0-4 887(kich thuoc hh)_CVXD gia cố_cống dưới đê_Khối lượng hoàn thành" xfId="4686"/>
    <cellStyle name="T_Da 0-4 887(kich thuoc hh)_Đợt 1 (Sơn Đông)" xfId="4687"/>
    <cellStyle name="T_Da 0-4 887(kich thuoc hh)_Đợt 1 (Sơn Đông)_03 cống Sơn Đông" xfId="4688"/>
    <cellStyle name="T_Da 0-4 887(kich thuoc hh)_Đợt cuối (Sơn Đồng)" xfId="4689"/>
    <cellStyle name="T_Da 0-4 887(kich thuoc hh)_Khối lượng hoàn thành" xfId="4690"/>
    <cellStyle name="T_Da 0x4  Km18+744,72 đến Km 19+221,61  (lop tren)" xfId="4691"/>
    <cellStyle name="T_Da 0x4  Km21+924,42 den Km22+384,57 (lop tren)" xfId="4692"/>
    <cellStyle name="T_Da 0x4 từ Km17+012.2 dến Km18+313.4" xfId="4693"/>
    <cellStyle name="T_da sua - 4 DU TOAN CAU BAN KENH MUONG LO" xfId="4694"/>
    <cellStyle name="T_Danglam-CVC-02-2-07-Duong-goi5-Bthuy-MT-TN" xfId="4695"/>
    <cellStyle name="T_Don gia 1m3 dap de bang may dam 9T" xfId="4696"/>
    <cellStyle name="T_Đợt 1 (Sơn Đông)" xfId="4697"/>
    <cellStyle name="T_Đợt 1 (Sơn Đông)_03 cống Sơn Đông" xfId="4698"/>
    <cellStyle name="T_Đợt cuối (Sơn Đồng)" xfId="4699"/>
    <cellStyle name="T_dt 31A-16+N46" xfId="4700"/>
    <cellStyle name="T_DT CAU" xfId="4701"/>
    <cellStyle name="T_DT CAU 7 SUOL-Thamdinh" xfId="4702"/>
    <cellStyle name="T_DT CAU KIEM LAM-thamdinh" xfId="4703"/>
    <cellStyle name="T_DT CCAU SO 2" xfId="4704"/>
    <cellStyle name="T_DT Cong 2PHI 100 BONAM KENH XA NU" xfId="4705"/>
    <cellStyle name="T_DT CONG BA CHUA (-1.5)" xfId="4706"/>
    <cellStyle name="T_DT CONG K9 NAM K10 CAU CHU S" xfId="4707"/>
    <cellStyle name="T_DT CONG MAU (MOI)" xfId="4708"/>
    <cellStyle name="T_DT CONG TAM CHUYEN GIAP KENH 16R" xfId="4709"/>
    <cellStyle name="T_DT CONG-thamdinh" xfId="4710"/>
    <cellStyle name="T_DT Dinh Ke tan Chau KT Lai" xfId="4711"/>
    <cellStyle name="T_DT KE NHANH TAY2" xfId="4712"/>
    <cellStyle name="T_DT KENH KHU 2-thamdinh" xfId="4713"/>
    <cellStyle name="T_DT LAP MOI" xfId="4714"/>
    <cellStyle name="T_DT LAP MOI_1" xfId="4715"/>
    <cellStyle name="T_DT LAP MOI_2.DT_CONG_MY SON DONG_ DC SAU THAM DINH" xfId="4716"/>
    <cellStyle name="T_DT LAP MOI_2.DT_CONG_MY SON DONG_ DC SAU THAM DINH_1" xfId="4717"/>
    <cellStyle name="T_DT LAP MOI_DT - TAN PHU TAY A " xfId="4718"/>
    <cellStyle name="T_DT LAP MOI_DT - TAN PHU TAY A _1" xfId="4719"/>
    <cellStyle name="T_DT LAP MOI_KHOI LUONG DE CUC BO CAI TAC - THANH DIEN" xfId="4720"/>
    <cellStyle name="T_DT LAP MOI_KHOI LUONG DE CUC BO CAI TAC - THANH DIEN_1" xfId="4721"/>
    <cellStyle name="T_DT LAP MOI_SO TOAN KHOI LUONG DE DAI DIEN" xfId="4722"/>
    <cellStyle name="T_DT LAP MOI_SO TOAN KHOI LUONG DE DAI DIEN_1" xfId="4723"/>
    <cellStyle name="T_DT Nao Vet Kenh Lang Ham" xfId="4724"/>
    <cellStyle name="T_DT tinh du phong" xfId="4725"/>
    <cellStyle name="T_DTCT(PA1)" xfId="4726"/>
    <cellStyle name="T_DTCT(tinh DP truot gia)" xfId="4727"/>
    <cellStyle name="T_DTKENH 2 TV2 BO TAY" xfId="4728"/>
    <cellStyle name="T_Du phong Cong Tha La" xfId="4729"/>
    <cellStyle name="T_du toan bo sung TK Krong buk" xfId="4730"/>
    <cellStyle name="T_DU TOAN DUONG" xfId="4731"/>
    <cellStyle name="T_DU TOAN DUONG_1" xfId="4732"/>
    <cellStyle name="T_DU TOAN DUONG_2.DT_CONG_MY SON DONG_ DC SAU THAM DINH" xfId="4733"/>
    <cellStyle name="T_DU TOAN DUONG_2.DT_CONG_MY SON DONG_ DC SAU THAM DINH_1" xfId="4734"/>
    <cellStyle name="T_DU TOAN DUONG_DT - TAN PHU TAY A " xfId="4735"/>
    <cellStyle name="T_DU TOAN DUONG_DT - TAN PHU TAY A _1" xfId="4736"/>
    <cellStyle name="T_DU TOAN DUONG_KHOI LUONG DE CUC BO CAI TAC - THANH DIEN" xfId="4737"/>
    <cellStyle name="T_DU TOAN DUONG_KHOI LUONG DE CUC BO CAI TAC - THANH DIEN_1" xfId="4738"/>
    <cellStyle name="T_DU TOAN DUONG_SO TOAN KHOI LUONG DE DAI DIEN" xfId="4739"/>
    <cellStyle name="T_DU TOAN DUONG_SO TOAN KHOI LUONG DE DAI DIEN_1" xfId="4740"/>
    <cellStyle name="T_Du toan Mau" xfId="4741"/>
    <cellStyle name="T_du toan Petro (version 1)" xfId="4742"/>
    <cellStyle name="T_duong giong nhan ganh hao - cong ngang duong" xfId="4743"/>
    <cellStyle name="T_Duong Giong Nhan Ganh Hao - Duong giao thong" xfId="4744"/>
    <cellStyle name="T_DUONG -GOI THAU 2" xfId="4745"/>
    <cellStyle name="T_DUONG TUYEN -goi thau 1" xfId="4746"/>
    <cellStyle name="T_GIAO thau  TRUONG MN MUOI TAI" xfId="4747"/>
    <cellStyle name="T_GIAO thau  TRUONG MN MUOI TAI_1" xfId="4748"/>
    <cellStyle name="T_GIAVLXD092010_1287366083109" xfId="4749"/>
    <cellStyle name="T_GiaVLXD1009" xfId="4750"/>
    <cellStyle name="T_GiaVLXD1009_1" xfId="4751"/>
    <cellStyle name="T_GiaVLXD1009_2.DT_CONG_MY SON DONG_ DC SAU THAM DINH" xfId="4752"/>
    <cellStyle name="T_GiaVLXD1009_2.DT_CONG_MY SON DONG_ DC SAU THAM DINH_1" xfId="4753"/>
    <cellStyle name="T_GiaVLXD1009_DT - TAN PHU TAY A " xfId="4754"/>
    <cellStyle name="T_GiaVLXD1009_DT - TAN PHU TAY A _1" xfId="4755"/>
    <cellStyle name="T_GiaVLXD1009_KHOI LUONG DE CUC BO CAI TAC - THANH DIEN" xfId="4756"/>
    <cellStyle name="T_GiaVLXD1009_KHOI LUONG DE CUC BO CAI TAC - THANH DIEN_1" xfId="4757"/>
    <cellStyle name="T_GiaVLXD1009_KS - DE BAO SONG CAI OT" xfId="4758"/>
    <cellStyle name="T_GiaVLXD1009_KS - DE BAO SONG CAI OT_1" xfId="4759"/>
    <cellStyle name="T_GiaVLXD1009_KS - DE BAOCAI TAT - THANH DIEN" xfId="4760"/>
    <cellStyle name="T_GiaVLXD1009_KS - DE BAOCAI TAT - THANH DIEN_1" xfId="4761"/>
    <cellStyle name="T_GiaVLXD1009_KS - DE LAN NAM_CHO LACH" xfId="4762"/>
    <cellStyle name="T_GiaVLXD1009_KS - DE LAN NAM_CHO LACH_1" xfId="4763"/>
    <cellStyle name="T_GiaVLXD1009_KS - DE LAN NAM_CHO LACH_AD" xfId="4764"/>
    <cellStyle name="T_GiaVLXD1009_KS - DE LAN NAM_CHO LACH_AD_1" xfId="4765"/>
    <cellStyle name="T_GiaVLXD1009_KS - DE VEN SONG HAM LUONG_DAI DIEN " xfId="4766"/>
    <cellStyle name="T_GiaVLXD1009_KS - DE VEN SONG HAM LUONG_DAI DIEN _1" xfId="4767"/>
    <cellStyle name="T_GiaVLXD1009_SO TOAN KHOI LUONG DE DAI DIEN" xfId="4768"/>
    <cellStyle name="T_GiaVLXD1009_SO TOAN KHOI LUONG DE DAI DIEN_1" xfId="4769"/>
    <cellStyle name="T_GT21_ CONG TIEU Þ60" xfId="4770"/>
    <cellStyle name="T_GuiChudautu-20-02-07-Thamtra-KDC-Mthan-TrNoc" xfId="4771"/>
    <cellStyle name="T_GVL10" xfId="4772"/>
    <cellStyle name="T_GVLmoi" xfId="4773"/>
    <cellStyle name="T_HC HTDL.Kenh Nhat" xfId="4774"/>
    <cellStyle name="T_HC HTDL.Kenh Nhat_1" xfId="4775"/>
    <cellStyle name="T_In-LuuGuiCDT-CPBX-13-03-07-THKP-439mDchinh-4T-1N" xfId="4776"/>
    <cellStyle name="T_k2+700" xfId="4777"/>
    <cellStyle name="T_KE LUONG THUC" xfId="4778"/>
    <cellStyle name="T_KE LUONG THUC111" xfId="4779"/>
    <cellStyle name="T_KE THA LA" xfId="4780"/>
    <cellStyle name="T_KENH T11-1 R" xfId="4781"/>
    <cellStyle name="T_KENH T11-6(MAU_ISO)" xfId="4782"/>
    <cellStyle name="T_KHAO SAT" xfId="4783"/>
    <cellStyle name="T_khao sat Du an" xfId="4784"/>
    <cellStyle name="T_KHAO SAT TRA VINH" xfId="4785"/>
    <cellStyle name="T_Khao satD1" xfId="4786"/>
    <cellStyle name="T_KHIN PHI KENH T6" xfId="4787"/>
    <cellStyle name="T_Khối lượng hoàn thành" xfId="4788"/>
    <cellStyle name="T_KHOI LUONG_CS-NQ_SOBO" xfId="4789"/>
    <cellStyle name="T_KHOILUONG_BOTRIDANCU" xfId="4790"/>
    <cellStyle name="T_KL-DH" xfId="4791"/>
    <cellStyle name="T_KL-DH_1" xfId="4792"/>
    <cellStyle name="T_KL-DHDM" xfId="4793"/>
    <cellStyle name="T_KL-DHDM_1" xfId="4794"/>
    <cellStyle name="T_KL-DHK" xfId="4795"/>
    <cellStyle name="T_KL-DHK_1" xfId="4796"/>
    <cellStyle name="T_KThh ( C342-C407)" xfId="4797"/>
    <cellStyle name="T_KThh ( C342-C407)_03 cống Sơn Đông" xfId="4798"/>
    <cellStyle name="T_KThh ( C342-C407)_Công tác đất (tổ 1)" xfId="4799"/>
    <cellStyle name="T_KThh ( C342-C407)_Công tác đất (tổ 3)" xfId="4800"/>
    <cellStyle name="T_KThh ( C342-C407)_CVXD đào đắp_thi công đê" xfId="4801"/>
    <cellStyle name="T_KThh ( C342-C407)_CVXD đê và gia cố đê" xfId="4802"/>
    <cellStyle name="T_KThh ( C342-C407)_CVXD gia cố_cống dưới đê" xfId="4803"/>
    <cellStyle name="T_KThh ( C342-C407)_CVXD gia cố_cống dưới đê_Khối lượng hoàn thành" xfId="4804"/>
    <cellStyle name="T_KThh ( C342-C407)_Đợt 1 (Sơn Đông)" xfId="4805"/>
    <cellStyle name="T_KThh ( C342-C407)_Đợt 1 (Sơn Đông)_03 cống Sơn Đông" xfId="4806"/>
    <cellStyle name="T_KThh ( C342-C407)_Đợt cuối (Sơn Đồng)" xfId="4807"/>
    <cellStyle name="T_KThh ( C342-C407)_Khối lượng hoàn thành" xfId="4808"/>
    <cellStyle name="T_Lam lai DS7" xfId="4809"/>
    <cellStyle name="T_Lam lai DS7 (version 1)" xfId="4810"/>
    <cellStyle name="T_Me_Tri_6_07" xfId="4811"/>
    <cellStyle name="T_Me_Tri_6_07_BANG TOA DO" xfId="4812"/>
    <cellStyle name="T_Me_Tri_6_07_BANG TOA DO_dao huu co DONG DO tu Km16+453.33 den Km16+984.25" xfId="4813"/>
    <cellStyle name="T_NC - M (2)" xfId="4814"/>
    <cellStyle name="T_PA1 (Hoa Kieng - giai doan1+2)" xfId="4815"/>
    <cellStyle name="T_PA1A - toan bo ong gang (may bom h=16m)" xfId="4816"/>
    <cellStyle name="T_PA1B - toan bo ong HDPE (may bom h=16m)" xfId="4817"/>
    <cellStyle name="T_PL03- 9" xfId="4818"/>
    <cellStyle name="T_PL03-1" xfId="4819"/>
    <cellStyle name="T_PL03-8" xfId="4820"/>
    <cellStyle name="T_PTDG (2)" xfId="4821"/>
    <cellStyle name="T_QD so 957" xfId="4822"/>
    <cellStyle name="T_Rach Chanh 5-07 sau TDTK(VL T3-07)" xfId="4823"/>
    <cellStyle name="T_Rach Chanh 5-07 sau TDTK(VL T3-07)_1" xfId="4824"/>
    <cellStyle name="T_Rach Chanh 5-07 sau TDTK(VL T3-07)_2.DT_CONG_MY SON DONG_ DC SAU THAM DINH" xfId="4825"/>
    <cellStyle name="T_Rach Chanh 5-07 sau TDTK(VL T3-07)_2.DT_CONG_MY SON DONG_ DC SAU THAM DINH_1" xfId="4826"/>
    <cellStyle name="T_Rach Chanh 5-07 sau TDTK(VL T3-07)_DT - TAN PHU TAY A " xfId="4827"/>
    <cellStyle name="T_Rach Chanh 5-07 sau TDTK(VL T3-07)_DT - TAN PHU TAY A _1" xfId="4828"/>
    <cellStyle name="T_Rach Chanh 5-07 sau TDTK(VL T3-07)_KHOI LUONG DE CUC BO CAI TAC - THANH DIEN" xfId="4829"/>
    <cellStyle name="T_Rach Chanh 5-07 sau TDTK(VL T3-07)_KHOI LUONG DE CUC BO CAI TAC - THANH DIEN_1" xfId="4830"/>
    <cellStyle name="T_Rach Chanh 5-07 sau TDTK(VL T3-07)_SO TOAN KHOI LUONG DE DAI DIEN" xfId="4831"/>
    <cellStyle name="T_Rach Chanh 5-07 sau TDTK(VL T3-07)_SO TOAN KHOI LUONG DE DAI DIEN_1" xfId="4832"/>
    <cellStyle name="T_Seagame(BTL)" xfId="4833"/>
    <cellStyle name="T_Sheet1" xfId="4834"/>
    <cellStyle name="T_STKL NGACAITRONG" xfId="4835"/>
    <cellStyle name="T_TDT KhThai  10097 TTr 120907 lan3 nop A" xfId="4836"/>
    <cellStyle name="T_th" xfId="4837"/>
    <cellStyle name="T_THDT" xfId="4838"/>
    <cellStyle name="T_THDT_1" xfId="4839"/>
    <cellStyle name="T_THDT_2.DT_CONG_MY SON DONG_ DC SAU THAM DINH" xfId="4840"/>
    <cellStyle name="T_THDT_2.DT_CONG_MY SON DONG_ DC SAU THAM DINH_1" xfId="4841"/>
    <cellStyle name="T_THDT_C CHIN TUYEN" xfId="4842"/>
    <cellStyle name="T_THDT_Copy of CAU CHIN TUYEN" xfId="4843"/>
    <cellStyle name="T_THDT_DT - TAN PHU TAY A " xfId="4844"/>
    <cellStyle name="T_THDT_DT - TAN PHU TAY A _1" xfId="4845"/>
    <cellStyle name="T_THDT_DT CONG BA CHUA (-1.5)" xfId="4846"/>
    <cellStyle name="T_THDT_Du phong Cong Tha La" xfId="4847"/>
    <cellStyle name="T_THDT_KHAO SAT" xfId="4848"/>
    <cellStyle name="T_THDT_KHOI LUONG DE CUC BO CAI TAC - THANH DIEN" xfId="4849"/>
    <cellStyle name="T_THDT_KHOI LUONG DE CUC BO CAI TAC - THANH DIEN_1" xfId="4850"/>
    <cellStyle name="T_THDT_KS - DE BAO SONG CAI OT" xfId="4851"/>
    <cellStyle name="T_THDT_KS - DE BAO SONG CAI OT_1" xfId="4852"/>
    <cellStyle name="T_THDT_KS - DE BAOCAI TAT - THANH DIEN" xfId="4853"/>
    <cellStyle name="T_THDT_KS - DE BAOCAI TAT - THANH DIEN_1" xfId="4854"/>
    <cellStyle name="T_THDT_KS - DE LAN NAM_CHO LACH" xfId="4855"/>
    <cellStyle name="T_THDT_KS - DE LAN NAM_CHO LACH_1" xfId="4856"/>
    <cellStyle name="T_THDT_KS - DE LAN NAM_CHO LACH_AD" xfId="4857"/>
    <cellStyle name="T_THDT_KS - DE LAN NAM_CHO LACH_AD_1" xfId="4858"/>
    <cellStyle name="T_THDT_KS - DE VEN SONG HAM LUONG_DAI DIEN " xfId="4859"/>
    <cellStyle name="T_THDT_KS - DE VEN SONG HAM LUONG_DAI DIEN _1" xfId="4860"/>
    <cellStyle name="T_THDT_SO TOAN KHOI LUONG DE DAI DIEN" xfId="4861"/>
    <cellStyle name="T_THDT_SO TOAN KHOI LUONG DE DAI DIEN_1" xfId="4862"/>
    <cellStyle name="T_THDT_ST" xfId="4863"/>
    <cellStyle name="T_THDT_STKL KE BAC LIEU" xfId="4864"/>
    <cellStyle name="T_THDT_th" xfId="4865"/>
    <cellStyle name="T_THDT_THDT PHUOC LONG PA1(T6)" xfId="4866"/>
    <cellStyle name="T_THDT_TMDT 4 GOI" xfId="4867"/>
    <cellStyle name="T_THDT_TMDT GOI 2 BO BAC (tinh cp lai du phong)" xfId="4868"/>
    <cellStyle name="T_THDT_TMDT22" xfId="4869"/>
    <cellStyle name="T_THDT_TMDTPA1" xfId="4870"/>
    <cellStyle name="T_THDTGOI 21" xfId="4871"/>
    <cellStyle name="T_THKP DAI TRUYEN THANH" xfId="4872"/>
    <cellStyle name="T_THKP PA1B - new" xfId="4873"/>
    <cellStyle name="T_THONG KE THEP" xfId="4874"/>
    <cellStyle name="T_tien2004" xfId="4875"/>
    <cellStyle name="T_TINH NOI SUY" xfId="4876"/>
    <cellStyle name="T_TK cong" xfId="4877"/>
    <cellStyle name="T_TK_HT" xfId="4878"/>
    <cellStyle name="T_TK_HT_2.DT_CONG_MY SON DONG_ DC SAU THAM DINH" xfId="4879"/>
    <cellStyle name="T_TK_HT_DT - TAN PHU TAY A " xfId="4880"/>
    <cellStyle name="T_TK_HT_DU TOAN MAU" xfId="4881"/>
    <cellStyle name="T_TK_HT_KHOI LUONG DE CUC BO CAI TAC - THANH DIEN" xfId="4882"/>
    <cellStyle name="T_TK_HT_KS - DE BAO SONG CAI OT" xfId="4883"/>
    <cellStyle name="T_TK_HT_KS - DE BAOCAI TAT - THANH DIEN" xfId="4884"/>
    <cellStyle name="T_TK_HT_KS - DE LAN NAM_CHO LACH" xfId="4885"/>
    <cellStyle name="T_TK_HT_KS - DE LAN NAM_CHO LACH_AD" xfId="4886"/>
    <cellStyle name="T_TK_HT_KS - DE VEN SONG HAM LUONG_DAI DIEN " xfId="4887"/>
    <cellStyle name="T_TK_HT_SO TOAN KHOI LUONG DE DAI DIEN" xfId="4888"/>
    <cellStyle name="T_TL-Ben400CV" xfId="4889"/>
    <cellStyle name="T_TMDT" xfId="4890"/>
    <cellStyle name="T_TMDT 4 GOI" xfId="4891"/>
    <cellStyle name="T_TMDT GOI 2 BO BAC (tinh cp lai du phong)" xfId="4892"/>
    <cellStyle name="T_TMDT(PA1)" xfId="4893"/>
    <cellStyle name="T_TMDT22" xfId="4894"/>
    <cellStyle name="T_TMDT8mw" xfId="4895"/>
    <cellStyle name="T_TMDT8mw_1 DT CONG BTCT Þ1000" xfId="4896"/>
    <cellStyle name="T_TMDT8mw_2 DT CONG BTCT Þ1000 - goi thau 2-t1 ook" xfId="4897"/>
    <cellStyle name="T_TMDT8mw_2.DT_CONG_MY SON DONG_ DC SAU THAM DINH" xfId="4898"/>
    <cellStyle name="T_TMDT8mw_4 TONG DU TOAN (3-2012)" xfId="4899"/>
    <cellStyle name="T_TMDT8mw_ben pha kenh xang xeo ro-thamdinh" xfId="4900"/>
    <cellStyle name="T_TMDT8mw_CAU CHIN TUYEN" xfId="4901"/>
    <cellStyle name="T_TMDT8mw_CONG NGANG DUONG" xfId="4902"/>
    <cellStyle name="T_TMDT8mw_CONG NGANG DUONG -" xfId="4903"/>
    <cellStyle name="T_TMDT8mw_da sua - 4 DU TOAN CAU BAN KENH MUONG LO" xfId="4904"/>
    <cellStyle name="T_TMDT8mw_DT - TAN PHU TAY A " xfId="4905"/>
    <cellStyle name="T_TMDT8mw_DT CAU" xfId="4906"/>
    <cellStyle name="T_TMDT8mw_DT CAU 7 SUOL-Thamdinh" xfId="4907"/>
    <cellStyle name="T_TMDT8mw_DT CAU KIEM LAM-thamdinh" xfId="4908"/>
    <cellStyle name="T_TMDT8mw_DT CONG-thamdinh" xfId="4909"/>
    <cellStyle name="T_TMDT8mw_DT KENH KHU 2-thamdinh" xfId="4910"/>
    <cellStyle name="T_TMDT8mw_duong giong nhan ganh hao - cong ngang duong" xfId="4911"/>
    <cellStyle name="T_TMDT8mw_Duong Giong Nhan Ganh Hao - Duong giao thong" xfId="4912"/>
    <cellStyle name="T_TMDT8mw_DUONG -GOI THAU 2" xfId="4913"/>
    <cellStyle name="T_TMDT8mw_DUONG TUYEN -goi thau 1" xfId="4914"/>
    <cellStyle name="T_TMDT8mw_KHOI LUONG DE CUC BO CAI TAC - THANH DIEN" xfId="4915"/>
    <cellStyle name="T_TMDT8mw_KL-DH" xfId="4916"/>
    <cellStyle name="T_TMDT8mw_KL-DH_da sua - 4 DU TOAN CAU BAN KENH MUONG LO" xfId="4917"/>
    <cellStyle name="T_TMDT8mw_KL-DH_DT CONG-thamdinh" xfId="4918"/>
    <cellStyle name="T_TMDT8mw_KL-DHDM" xfId="4919"/>
    <cellStyle name="T_TMDT8mw_KL-DHDM_da sua - 4 DU TOAN CAU BAN KENH MUONG LO" xfId="4920"/>
    <cellStyle name="T_TMDT8mw_KL-DHDM_DT CONG-thamdinh" xfId="4921"/>
    <cellStyle name="T_TMDT8mw_KL-DHK" xfId="4922"/>
    <cellStyle name="T_TMDT8mw_KL-DHK_da sua - 4 DU TOAN CAU BAN KENH MUONG LO" xfId="4923"/>
    <cellStyle name="T_TMDT8mw_KL-DHK_DT CONG-thamdinh" xfId="4924"/>
    <cellStyle name="T_TMDT8mw_KS - DE BAO SONG CAI OT" xfId="4925"/>
    <cellStyle name="T_TMDT8mw_KS - DE BAOCAI TAT - THANH DIEN" xfId="4926"/>
    <cellStyle name="T_TMDT8mw_KS - DE LAN NAM_CHO LACH" xfId="4927"/>
    <cellStyle name="T_TMDT8mw_KS - DE LAN NAM_CHO LACH_AD" xfId="4928"/>
    <cellStyle name="T_TMDT8mw_KS - DE VEN SONG HAM LUONG_DAI DIEN " xfId="4929"/>
    <cellStyle name="T_TMDT8mw_SO TOAN KHOI LUONG DE DAI DIEN" xfId="4930"/>
    <cellStyle name="T_TMDT8mw_TK cong" xfId="4931"/>
    <cellStyle name="T_TONG DU TOAN" xfId="4932"/>
    <cellStyle name="T_TONG DU TOAN VINH LONG-PA1" xfId="4933"/>
    <cellStyle name="T_TONG DU TOAN VINH LONG-PA1_1 DT CONG BTCT Þ1000" xfId="4934"/>
    <cellStyle name="T_TONG DU TOAN VINH LONG-PA1_2 DT CONG BTCT Þ1000 - goi thau 2-t1 ook" xfId="4935"/>
    <cellStyle name="T_TONG DU TOAN VINH LONG-PA1_4 TONG DU TOAN (3-2012)" xfId="4936"/>
    <cellStyle name="T_TONG DU TOAN VINH LONG-PA1_ben pha kenh xang xeo ro-thamdinh" xfId="4937"/>
    <cellStyle name="T_TONG DU TOAN VINH LONG-PA1_CAU CHIN TUYEN" xfId="4938"/>
    <cellStyle name="T_TONG DU TOAN VINH LONG-PA1_CONG NGANG DUONG" xfId="4939"/>
    <cellStyle name="T_TONG DU TOAN VINH LONG-PA1_CONG NGANG DUONG -" xfId="4940"/>
    <cellStyle name="T_TONG DU TOAN VINH LONG-PA1_da sua - 4 DU TOAN CAU BAN KENH MUONG LO" xfId="4941"/>
    <cellStyle name="T_TONG DU TOAN VINH LONG-PA1_DT CAU" xfId="4942"/>
    <cellStyle name="T_TONG DU TOAN VINH LONG-PA1_DT CAU 7 SUOL-Thamdinh" xfId="4943"/>
    <cellStyle name="T_TONG DU TOAN VINH LONG-PA1_DT CAU KIEM LAM-thamdinh" xfId="4944"/>
    <cellStyle name="T_TONG DU TOAN VINH LONG-PA1_DT CONG-thamdinh" xfId="4945"/>
    <cellStyle name="T_TONG DU TOAN VINH LONG-PA1_DT KENH KHU 2-thamdinh" xfId="4946"/>
    <cellStyle name="T_TONG DU TOAN VINH LONG-PA1_duong giong nhan ganh hao - cong ngang duong" xfId="4947"/>
    <cellStyle name="T_TONG DU TOAN VINH LONG-PA1_Duong Giong Nhan Ganh Hao - Duong giao thong" xfId="4948"/>
    <cellStyle name="T_TONG DU TOAN VINH LONG-PA1_DUONG -GOI THAU 2" xfId="4949"/>
    <cellStyle name="T_TONG DU TOAN VINH LONG-PA1_DUONG TUYEN -goi thau 1" xfId="4950"/>
    <cellStyle name="T_TONG DU TOAN VINH LONG-PA1_TK cong" xfId="4951"/>
    <cellStyle name="T_TONG MUC DAU TU DC" xfId="4952"/>
    <cellStyle name="T_xuat file day 10 phong hoc" xfId="4953"/>
    <cellStyle name="tde" xfId="4954"/>
    <cellStyle name="Text" xfId="4955"/>
    <cellStyle name="Text Indent A" xfId="4956"/>
    <cellStyle name="Text Indent B" xfId="4957"/>
    <cellStyle name="Text Indent C" xfId="4970"/>
    <cellStyle name="th" xfId="4971"/>
    <cellStyle name="þ_x001d_ð¤_x000c_¯þ_x0014__x000d_¨þU_x0001_À_x0004_ _x0015__x000f__x0001__x0001_" xfId="4972"/>
    <cellStyle name="þ_x001d_ð¤_x000c_¯þ_x0014__x000d_¨þU_x0001_À_x0004_ _x0015__x000f__x0001__x0001_?_x0002_ÿÿÿÿÿÿÿÿÿÿÿÿÿÿÿ¯?(_x0002__x001d__x0017_ ???º%ÿÿÿÿ????_x0006__x0016_??????????????Í!Ë??????????           ?????           ?????????_x000d__x000d_U_x000d_H\D2_x000d_D2\DEMO.MSC_x000d_S;C:\DOS;C:\HANH\D3;C:\HANH\D2;C:\NC_x000d_????????????????????????????????????????????????????????????" xfId="4973"/>
    <cellStyle name="þ_x001d_ð·_x000c_æþ'_x000d_ßþU_x0001_Ø_x0005_ü_x0014__x0007__x0001__x0001_" xfId="4974"/>
    <cellStyle name="þ_x001d_ð·_x000c_æþ'_x000d_ßþU_x0001_Ø_x0005_ü_x0014__x0007__x0001__x0001_?_x0002_ÿÿÿÿÿÿÿÿÿÿÿÿÿÿÿ¯?(_x0002__x001e__x0016_ ???¼$ÿÿÿÿ????_x0006__x0016_??????????????Í!Ë??????????           ?????           ?????????_x000d_C:\WINDOWS\_x000d_V_x000d_S\TEMP_x000d_NC;C:\NU;C:\VIRUS;_x000d_?????????????????????????????????????????????????????????????????????????????" xfId="4975"/>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10;‹V_x000c_Ä^_x0006_&amp;‰G_x0008_&amp;‰W&#10;_x001f_ÉË?¸ÿ_x0013_È_x0006_??WV_x001e_ŽØ‹^&#10;‹v_x0006_ƒûÿt_x0007_ŽF_x0008_&amp;‰\&#10;ƒ~_x000c_?u.ŽF_x0008_&amp;ÿt_x0002_&amp;ÿ4&amp;" xfId="4976"/>
    <cellStyle name="þ_x001d_ðÇ%Uý—&amp;Hý9_x0008_Ÿ s&#10;_x0007__x0001__x0001_" xfId="4977"/>
    <cellStyle name="thuong-10" xfId="4978"/>
    <cellStyle name="thuong-11" xfId="4979"/>
    <cellStyle name="thvt" xfId="4980"/>
    <cellStyle name="Tiªu ®Ì" xfId="4981"/>
    <cellStyle name="Times New Roman" xfId="4982"/>
    <cellStyle name="TiÓu môc" xfId="4983"/>
    <cellStyle name="tit1" xfId="4984"/>
    <cellStyle name="tit2" xfId="4985"/>
    <cellStyle name="tit3" xfId="4986"/>
    <cellStyle name="tit4" xfId="4987"/>
    <cellStyle name="Title 2" xfId="5097"/>
    <cellStyle name="Tongcong" xfId="4988"/>
    <cellStyle name="Total 2" xfId="5098"/>
    <cellStyle name="trang" xfId="4989"/>
    <cellStyle name="tt1" xfId="4990"/>
    <cellStyle name="Tusental (0)_pldt" xfId="4991"/>
    <cellStyle name="Tusental_pldt" xfId="4992"/>
    <cellStyle name="ux_3_¼­¿ï-¾È»ê" xfId="4993"/>
    <cellStyle name="Valuta (0)_pldt" xfId="4994"/>
    <cellStyle name="Valuta_pldt" xfId="4995"/>
    <cellStyle name="VANG1" xfId="4996"/>
    <cellStyle name="viet" xfId="4997"/>
    <cellStyle name="viet2" xfId="4998"/>
    <cellStyle name="VN new romanNormal" xfId="4999"/>
    <cellStyle name="Vn Time 13" xfId="5000"/>
    <cellStyle name="Vn Time 14" xfId="5001"/>
    <cellStyle name="VN time new roman" xfId="5002"/>
    <cellStyle name="vn_time" xfId="5003"/>
    <cellStyle name="vnbo" xfId="5004"/>
    <cellStyle name="vnhead1" xfId="5005"/>
    <cellStyle name="vnhead2" xfId="5006"/>
    <cellStyle name="vnhead3" xfId="5007"/>
    <cellStyle name="vnhead4" xfId="5008"/>
    <cellStyle name="vntxt1" xfId="5009"/>
    <cellStyle name="vntxt2" xfId="5010"/>
    <cellStyle name="Währung [0]_UXO VII" xfId="5011"/>
    <cellStyle name="Währung_UXO VII" xfId="5012"/>
    <cellStyle name="Walutowy [0]_Invoices2001Slovakia" xfId="5013"/>
    <cellStyle name="Walutowy_Invoices2001Slovakia" xfId="5014"/>
    <cellStyle name="Warning Text 2" xfId="5099"/>
    <cellStyle name="xan1" xfId="5015"/>
    <cellStyle name="xuan" xfId="5016"/>
    <cellStyle name="Ý kh¸c_B¶ng 1 (2)" xfId="5017"/>
    <cellStyle name="Обычный_Bangss" xfId="5018"/>
    <cellStyle name="เครื่องหมายสกุลเงิน [0]_FTC_OFFER" xfId="5019"/>
    <cellStyle name="เครื่องหมายสกุลเงิน_FTC_OFFER" xfId="5020"/>
    <cellStyle name="ปกติ_FTC_OFFER" xfId="5021"/>
    <cellStyle name=" [0.00]_ Att. 1- Cover" xfId="5022"/>
    <cellStyle name="_ Att. 1- Cover" xfId="5023"/>
    <cellStyle name="?_ Att. 1- Cover" xfId="5024"/>
    <cellStyle name="똿뗦먛귟 [0.00]_PRODUCT DETAIL Q1" xfId="58"/>
    <cellStyle name="똿뗦먛귟_PRODUCT DETAIL Q1" xfId="59"/>
    <cellStyle name="믅됞 [0.00]_PRODUCT DETAIL Q1" xfId="60"/>
    <cellStyle name="믅됞_PRODUCT DETAIL Q1" xfId="61"/>
    <cellStyle name="백분율_95" xfId="62"/>
    <cellStyle name="뷭?_BOOKSHIP" xfId="63"/>
    <cellStyle name="쉼표 [0]_ffbom" xfId="5025"/>
    <cellStyle name="콤맀_Sheet1_총괄표 (수출입) (2)" xfId="5026"/>
    <cellStyle name="콤마 [ - 유형1" xfId="5027"/>
    <cellStyle name="콤마 [ - 유형2" xfId="5028"/>
    <cellStyle name="콤마 [ - 유형3" xfId="5029"/>
    <cellStyle name="콤마 [ - 유형4" xfId="5030"/>
    <cellStyle name="콤마 [ - 유형5" xfId="5031"/>
    <cellStyle name="콤마 [ - 유형6" xfId="5032"/>
    <cellStyle name="콤마 [ - 유형7" xfId="5033"/>
    <cellStyle name="콤마 [ - 유형8" xfId="5034"/>
    <cellStyle name="콤마 [0]_ 비목별 월별기술 " xfId="5035"/>
    <cellStyle name="콤마_ 비목별 월별기술 " xfId="5036"/>
    <cellStyle name="통화 [0]_††††† " xfId="5037"/>
    <cellStyle name="통화_††††† " xfId="5038"/>
    <cellStyle name="표10" xfId="5039"/>
    <cellStyle name="표13" xfId="5040"/>
    <cellStyle name="표섀_변경(최종)" xfId="5041"/>
    <cellStyle name="표준_ 97년 경영분석(안)" xfId="5042"/>
    <cellStyle name="표줠_Sheet1_1_총괄표 (수출입) (2)" xfId="5043"/>
    <cellStyle name="一般_00Q3902REV.1" xfId="5044"/>
    <cellStyle name="千分位[0]_00Q3902REV.1" xfId="5045"/>
    <cellStyle name="千分位_00Q3902REV.1" xfId="5046"/>
    <cellStyle name="常规_Sheet1" xfId="5047"/>
    <cellStyle name="桁区切り [0.00]_BE-BQ" xfId="5048"/>
    <cellStyle name="桁区切り_BE-BQ" xfId="5049"/>
    <cellStyle name="標準_(A1)BOQ " xfId="5050"/>
    <cellStyle name="貨幣 [0]_00Q3902REV.1" xfId="5051"/>
    <cellStyle name="貨幣[0]_BRE" xfId="5052"/>
    <cellStyle name="貨幣_00Q3902REV.1" xfId="5053"/>
    <cellStyle name="通貨 [0.00]_BE-BQ" xfId="5054"/>
    <cellStyle name="通貨_BE-BQ" xfId="5055"/>
  </cellStyles>
  <dxfs count="1">
    <dxf>
      <font>
        <b/>
        <i val="0"/>
        <color indexed="10"/>
      </font>
      <fill>
        <patternFill>
          <bgColor indexed="40"/>
        </patternFill>
      </fill>
    </dxf>
  </dxfs>
  <tableStyles count="0" defaultTableStyle="TableStyleMedium9" defaultPivotStyle="PivotStyleLight16"/>
  <colors>
    <mruColors>
      <color rgb="FF0000CC"/>
    </mruColors>
  </colors>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8.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externalLink" Target="externalLinks/externalLink11.xml"/><Relationship Id="rId47" Type="http://schemas.openxmlformats.org/officeDocument/2006/relationships/externalLink" Target="externalLinks/externalLink16.xml"/><Relationship Id="rId50" Type="http://schemas.openxmlformats.org/officeDocument/2006/relationships/externalLink" Target="externalLinks/externalLink19.xml"/><Relationship Id="rId55" Type="http://schemas.openxmlformats.org/officeDocument/2006/relationships/externalLink" Target="externalLinks/externalLink2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0.xml"/><Relationship Id="rId54" Type="http://schemas.openxmlformats.org/officeDocument/2006/relationships/externalLink" Target="externalLinks/externalLink23.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externalLink" Target="externalLinks/externalLink9.xml"/><Relationship Id="rId45" Type="http://schemas.openxmlformats.org/officeDocument/2006/relationships/externalLink" Target="externalLinks/externalLink14.xml"/><Relationship Id="rId53" Type="http://schemas.openxmlformats.org/officeDocument/2006/relationships/externalLink" Target="externalLinks/externalLink22.xml"/><Relationship Id="rId58" Type="http://schemas.openxmlformats.org/officeDocument/2006/relationships/externalLink" Target="externalLinks/externalLink2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49" Type="http://schemas.openxmlformats.org/officeDocument/2006/relationships/externalLink" Target="externalLinks/externalLink18.xml"/><Relationship Id="rId57" Type="http://schemas.openxmlformats.org/officeDocument/2006/relationships/externalLink" Target="externalLinks/externalLink26.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3.xml"/><Relationship Id="rId52" Type="http://schemas.openxmlformats.org/officeDocument/2006/relationships/externalLink" Target="externalLinks/externalLink21.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externalLink" Target="externalLinks/externalLink12.xml"/><Relationship Id="rId48" Type="http://schemas.openxmlformats.org/officeDocument/2006/relationships/externalLink" Target="externalLinks/externalLink17.xml"/><Relationship Id="rId56" Type="http://schemas.openxmlformats.org/officeDocument/2006/relationships/externalLink" Target="externalLinks/externalLink25.xml"/><Relationship Id="rId8" Type="http://schemas.openxmlformats.org/officeDocument/2006/relationships/worksheet" Target="worksheets/sheet8.xml"/><Relationship Id="rId51" Type="http://schemas.openxmlformats.org/officeDocument/2006/relationships/externalLink" Target="externalLinks/externalLink2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 Id="rId46" Type="http://schemas.openxmlformats.org/officeDocument/2006/relationships/externalLink" Target="externalLinks/externalLink15.xml"/><Relationship Id="rId5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1657350</xdr:colOff>
      <xdr:row>219</xdr:row>
      <xdr:rowOff>0</xdr:rowOff>
    </xdr:from>
    <xdr:to>
      <xdr:col>1</xdr:col>
      <xdr:colOff>1676400</xdr:colOff>
      <xdr:row>225</xdr:row>
      <xdr:rowOff>104775</xdr:rowOff>
    </xdr:to>
    <xdr:sp macro="" textlink="">
      <xdr:nvSpPr>
        <xdr:cNvPr id="2" name="Line 2"/>
        <xdr:cNvSpPr>
          <a:spLocks noChangeShapeType="1"/>
        </xdr:cNvSpPr>
      </xdr:nvSpPr>
      <xdr:spPr bwMode="auto">
        <a:xfrm flipH="1">
          <a:off x="1905000" y="170211750"/>
          <a:ext cx="19050" cy="1247775"/>
        </a:xfrm>
        <a:prstGeom prst="line">
          <a:avLst/>
        </a:prstGeom>
        <a:noFill/>
        <a:ln w="9525">
          <a:noFill/>
          <a:round/>
          <a:headEnd/>
          <a:tailEnd/>
        </a:ln>
      </xdr:spPr>
    </xdr:sp>
    <xdr:clientData/>
  </xdr:twoCellAnchor>
  <xdr:twoCellAnchor>
    <xdr:from>
      <xdr:col>1</xdr:col>
      <xdr:colOff>1657350</xdr:colOff>
      <xdr:row>219</xdr:row>
      <xdr:rowOff>0</xdr:rowOff>
    </xdr:from>
    <xdr:to>
      <xdr:col>1</xdr:col>
      <xdr:colOff>1676400</xdr:colOff>
      <xdr:row>225</xdr:row>
      <xdr:rowOff>104775</xdr:rowOff>
    </xdr:to>
    <xdr:sp macro="" textlink="">
      <xdr:nvSpPr>
        <xdr:cNvPr id="3" name="Line 2"/>
        <xdr:cNvSpPr>
          <a:spLocks noChangeShapeType="1"/>
        </xdr:cNvSpPr>
      </xdr:nvSpPr>
      <xdr:spPr bwMode="auto">
        <a:xfrm flipH="1">
          <a:off x="1905000" y="170211750"/>
          <a:ext cx="19050" cy="1247775"/>
        </a:xfrm>
        <a:prstGeom prst="line">
          <a:avLst/>
        </a:prstGeom>
        <a:noFill/>
        <a:ln w="9525">
          <a:no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1\c\Qu&#182;n%20l&#253;%20h&#229;%20s&#172;\D&#249;%20to&#184;n%20c&#184;c%20c&#171;ng%20tr&#215;nh\D&#249;%20to&#184;n%20Ng&#185;n%20s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20lieu%20dam%20may/Dropbox/Bac%20Ben%20Tre%20gd1/Bac%20Ben%20Tre%20gd1%20(giai%20doan%202017-2020)/e.%20BVTC,%20DT/BVTC%20Ban%2010/BVTC%2014%20cong%20ho/DT/du%20toan%2014%20cong%20ho%20-%20dot%201-%201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ONG%20VIEC/LAP%20DU%20TOAN/BEN%20TRE/NAM%202016/BA%20TRI/HO%20CHUA%20NUOC%20NGOT/THIET%20KE/LAN%206%20(PHE%20DUYET%2006-01-2017)/BO%20SUNG/THAM%20DINH%20(04-12-2017)/DIEU%20CHINH/THO%20GUI/DU%20TOAN-DIEU%20CHINH%20C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72;&#7840;I%20PH&#431;&#7898;C%20AN/H&#7878;%20TH&#7888;NG%20TH&#7910;Y%20L&#7906;I%20B&#7854;C%20B&#7870;N%20TRE%20(&#272;I&#7872;U%20CH&#7880;NH)/THANH%20TOAN/kcs%20thanh%20toan%20dot%2001%20cong%20trinh%20dap%20de%20ven%20song%20Ham%20Luong.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rogram%20Files\ExcelOM\A_TEMP\WEISS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huyloi\Moi%20nguoi\DLieu%20AA\DANG%20DAU%20THAU\TRU%20SO%20HUYEN%20UY%20PHU%20TAN\kim%20lien\OMEXEY%20GD%20II\KHOAN%20NC%20KT\Nhon\thep%20nha%20lien%20ke%207%20c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anson\DUNG%20CHUNG\My%20Documents\Excel\Data\Tinh%20tong%20hop%20du%20to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20lieu/Cam%20nang%20tin%20hoc/TIEN%20ICH%20DU%20TOAN/Cac%20bang%20tinh%20DU%20TOAN/Cam/TIEN%20ICH%20DU%20TOAN/DTC2015/DON%20GIA%20BEN%20TRE/DON%20GIA%20VAT%20LIEU/BANG%20TINH%20VAN%20CHUYEN%20VAT%20LIE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ha/H&#7890;%20S&#416;%20C&#212;NG%20TR&#204;NH/T&#7881;nh%20B&#7871;n%20Tre/H.ThanhPhu/&#272;&#227;%20ho&#224;n%20th&#224;nh/CSHT%20L&#224;ng%20ngh&#7873;%20H&#242;a%20L&#7907;i/H&#7891;%20s&#417;%20nghi&#7879;m%20thu%20+%20Thanh%20to&#225;n/Kh&#7889;i%20l&#432;&#7907;ng%20+%20Thanh%20to&#225;n/file%20d&#7921;%20th&#7847;u%20g&#7889;c1%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Pha/H&#7890;%20S&#416;%20C&#212;NG%20TR&#204;NH/1.%20CH&#7844;N%20H&#431;NG/T&#7881;nh%20B&#7871;n%20Tre/H.ThanhPhu/&#272;&#227;%20ho&#224;n%20th&#224;nh/CSHT%20L&#224;ng%20ngh&#7873;%20H&#242;a%20L&#7907;i/H&#7891;%20s&#417;%20nghi&#7879;m%20thu%20+%20Thanh%20to&#225;n/Nghi&#7879;m%20thu%20c&#244;ng%20vi&#7879;c/&#272;&#7907;t%201/file%20d&#7921;%20th&#7847;u%20g&#7889;c1%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_TRAN%20TAN%20HUNG/DANH%20MUC/HO%20SO%20KY%20THUAT/HUYEN%20BINH%20DAI/GOI%20THUA%20DUC/D&#7921;%20th&#7847;u/Kinh%20ph&#237;%20th&#7847;u%20Th&#7915;a%20&#272;&#7913;c%20(&#272;i&#7873;u%20ch&#7881;nh%20sau%20d&#7921;%20th&#7847;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oankien\chia%20se\du%20lieu%20O%20D\chia%20se\CONG%20TRINH%20NAM%202018\HTTL%20BAC%20BEN%20TRE\CONG%20B=3.0M(moi)\Cong%20ho%20AP.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Pha/H&#7890;%20S&#416;%20C&#212;NG%20TR&#204;NH/T&#7881;nh%20B&#7871;n%20Tre/H.BaTri/&#272;ang%20thi%20c&#244;ng/H&#7891;%20ch&#7913;a%20n&#432;&#7899;c%20ng&#7885;t%20Ba%20Tri/Nghi&#7879;m%20thu%20-%20thanh%20to&#225;n/Ch&#7845;n%20H&#432;ng/Bi&#234;n%20b&#7843;n%20nghi&#7879;m%20thu%20c&#244;ng%20vi&#7879;c/&#272;&#7907;t%203/Thanh%20to&#225;n(CH)%203.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Skamylove/Application%20Data/Skype/My%20Skype%20Received%20Files/Mai%20Huong/Mai%20Huong/DTOANMOI/BENTRE/NGANMANTHUCUU/TMDT.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aianh\shared%20file\My%20Documents\Excel%20job\Hanoi%202002\WINDOWS\Temporary%20Internet%20Files\Content.IE5\5C6EOYFM\Cankt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g\hien%20hai\HIEN%20HAI\Du%20thau\BINH%20TRUNG\QUAN-8\My%20Documents\PHONG\Quan%208\quyet%20toan\THAI\TAN-THOI%20HIEP\excel\Saigon%20Electro\TUAN\My%20Documents\Worldbank\DOT1\Excel\Data\Tinh%20tong%20hop%20du%20toan.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20lieu/Cong%20viec/Duong%20vao%20kho%20xang%20dau%20CTy%20TNHH%20xang%20dau%20Hoang%20Minh/Lan%201/DU%20TOAN%20KHO%20XANG.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B&#7871;n%20Tre%202019/&#272;&#7840;I%20PH&#431;&#7898;C%20AN/HUY&#7878;N%20TH&#7840;NH%20PH&#218;/D&#7920;%20&#193;N%20H&#7878;%20TH&#7888;NG%20TH&#7910;Y%20L&#7906;I%20NAM%20B&#7870;N%20TRE/Thanh%20to&#225;n/C&#7847;u%20Nh&#224;%20Th&#7901;/KCS/kcs%20c&#7847;u%20Nh&#224;%20Th&#7901;%20&#273;&#7907;t%200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03\Shared%20Folders\SHARE%20MOI%20NGUOI\Anh%20Thanh\BAN%20VE%20THIET%20KE%20SAN%20NEN\ESD\P3(Qg-Bao)\Kiemtr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anson\DUNG%20CHUNG\NAM98\DUTOAN\Tinh%20tong%20hop%20du%20toan%20bi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anson\DUNG%20CHUNG\My%20Documents\HBT-DK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SON/TUAN/SOMONG/1/Thanh/Th-exe/HBT-DK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22\du%20toan\vui\San%20pham\Phu%20Tan_AG\Duong%20Day\HTM\CANHAN\MUNG\THOP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Program%20Files\ExcelOM\A_TEMP\WEIS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ansai\007.07.GTE%20-%205%20CAU%20CAN%20THO%20GOI%2011\NAM%202007\KE%20TOAN\NAM200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t\gv\QUANLY\DULIEU\ChuongTrinhDaoTao.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ng hop chi phi"/>
      <sheetName val="TH chi phi dz+chi phi cong to"/>
      <sheetName val="VL,NC,MTC"/>
      <sheetName val="chiet tinh"/>
      <sheetName val="phan giao tien"/>
      <sheetName val="phan giao v tu"/>
      <sheetName val="Sheet1"/>
      <sheetName val="ctinh"/>
      <sheetName val="phan giam tien"/>
      <sheetName val="TT-35KV+TBA"/>
      <sheetName val="XL4Poppy"/>
      <sheetName val="TH chi phi`dz+chi phi cong to"/>
      <sheetName val="TT35"/>
      <sheetName val="Gia vat tu"/>
      <sheetName val="chiet0tinh"/>
      <sheetName val="ctBT"/>
      <sheetName val="gtrinh"/>
      <sheetName val="Sheet2"/>
      <sheetName val="Sheet3"/>
      <sheetName val="CHITIET VL-NC-TT-3p"/>
      <sheetName val="Dù to¸n Ng¹n son"/>
      <sheetName val="Quantity"/>
      <sheetName val="tong_hop_chi_phi"/>
      <sheetName val="TH_chi_phi_dz+chi_phi_cong_to"/>
      <sheetName val="chiet_tinh"/>
      <sheetName val="phan_giao_tien"/>
      <sheetName val="phan_giao_v_tu"/>
      <sheetName val="phan_giam_tien"/>
      <sheetName val="MAILEGUH"/>
      <sheetName val="gVL"/>
      <sheetName val="Ctinh 10kV"/>
      <sheetName val="Pgal2004"/>
      <sheetName val="VL"/>
      <sheetName val="MTC"/>
      <sheetName val="Xuly Data"/>
      <sheetName val="bluong"/>
      <sheetName val="Gia VL"/>
      <sheetName val="DgiaCT"/>
      <sheetName val="Bill2000"/>
      <sheetName val="Bill30200"/>
      <sheetName val="PLV"/>
      <sheetName val="CT -THVLNC"/>
      <sheetName val="Tong hop vat tu"/>
      <sheetName val="Phan tich ca may"/>
      <sheetName val="Config"/>
      <sheetName val="Chi phi van chuyen"/>
      <sheetName val="Chenh lech ca may"/>
      <sheetName val="TLg CN&amp;Laixe"/>
      <sheetName val="TLg CN&amp;Laixe (2)"/>
      <sheetName val="TLg Laitau"/>
      <sheetName val="TLg Laitau (2)"/>
      <sheetName val="Giai trinh"/>
      <sheetName val="터파기및재료"/>
      <sheetName val="TH chi phi dz+chi phi aong to"/>
      <sheetName val="KPVC-BD "/>
      <sheetName val="phan giao v vu"/>
      <sheetName val="CD2000"/>
      <sheetName val="??????"/>
      <sheetName val="Dinh Muc VT"/>
      <sheetName val="______"/>
      <sheetName val="THPDMoi  (2)"/>
      <sheetName val="Thongso"/>
      <sheetName val="CTTDD"/>
      <sheetName val="Tien luong"/>
      <sheetName val=""/>
      <sheetName val="KKKKKKKK"/>
      <sheetName val="TT_35KV_TBA"/>
      <sheetName val="2.CTDGCV-HO"/>
      <sheetName val="M-GTKH"/>
      <sheetName val="VL-GTKH"/>
      <sheetName val="_x0000__x0000__x0000__x0000__x0000__x0000__x0000__x0000_"/>
    </sheetNames>
    <sheetDataSet>
      <sheetData sheetId="0"/>
      <sheetData sheetId="1"/>
      <sheetData sheetId="2"/>
      <sheetData sheetId="3" refreshError="1">
        <row r="6">
          <cell r="B6" t="str">
            <v>Xi m¨ng PC 300</v>
          </cell>
          <cell r="C6" t="str">
            <v>kg</v>
          </cell>
          <cell r="D6">
            <v>155.5</v>
          </cell>
          <cell r="F6">
            <v>884</v>
          </cell>
        </row>
        <row r="7">
          <cell r="B7" t="str">
            <v>C¸t vµng</v>
          </cell>
          <cell r="C7" t="str">
            <v>m3</v>
          </cell>
          <cell r="D7">
            <v>0.435</v>
          </cell>
          <cell r="F7">
            <v>95000</v>
          </cell>
        </row>
        <row r="8">
          <cell r="B8" t="str">
            <v>§¸ d¨m 4 x 6</v>
          </cell>
          <cell r="C8" t="str">
            <v>m3</v>
          </cell>
          <cell r="D8">
            <v>0.747</v>
          </cell>
          <cell r="F8">
            <v>86222</v>
          </cell>
        </row>
        <row r="18">
          <cell r="B18" t="str">
            <v>Xi m¨ng PC 300</v>
          </cell>
          <cell r="C18" t="str">
            <v>kg</v>
          </cell>
          <cell r="D18">
            <v>254.5</v>
          </cell>
          <cell r="F18">
            <v>884</v>
          </cell>
        </row>
        <row r="19">
          <cell r="B19" t="str">
            <v>C¸t vµng</v>
          </cell>
          <cell r="C19" t="str">
            <v>m3</v>
          </cell>
          <cell r="D19">
            <v>0.45</v>
          </cell>
          <cell r="F19">
            <v>95000</v>
          </cell>
        </row>
        <row r="20">
          <cell r="B20" t="str">
            <v>§¸ d¨m 4 x 6</v>
          </cell>
          <cell r="C20" t="str">
            <v>m3</v>
          </cell>
          <cell r="D20">
            <v>0.88300000000000001</v>
          </cell>
          <cell r="F20">
            <v>99894</v>
          </cell>
        </row>
        <row r="21">
          <cell r="B21" t="str">
            <v>Gç cèp pha</v>
          </cell>
          <cell r="C21" t="str">
            <v>m3</v>
          </cell>
          <cell r="D21">
            <v>1.4999999999999999E-2</v>
          </cell>
          <cell r="F21">
            <v>1000000</v>
          </cell>
        </row>
        <row r="22">
          <cell r="B22" t="str">
            <v>§inh</v>
          </cell>
          <cell r="C22" t="str">
            <v>kg</v>
          </cell>
          <cell r="D22">
            <v>0.19</v>
          </cell>
          <cell r="F22">
            <v>7000</v>
          </cell>
        </row>
        <row r="23">
          <cell r="B23" t="str">
            <v>Tre chèng</v>
          </cell>
          <cell r="C23" t="str">
            <v>c©y</v>
          </cell>
          <cell r="D23">
            <v>0.63</v>
          </cell>
          <cell r="F23">
            <v>7500</v>
          </cell>
        </row>
        <row r="35">
          <cell r="B35" t="str">
            <v>Xi m¨ng PC 300( BØm s¬n)</v>
          </cell>
          <cell r="C35" t="str">
            <v>kg</v>
          </cell>
          <cell r="D35">
            <v>306</v>
          </cell>
          <cell r="F35">
            <v>884</v>
          </cell>
        </row>
        <row r="36">
          <cell r="B36" t="str">
            <v>C¸t vµng</v>
          </cell>
          <cell r="C36" t="str">
            <v>m3</v>
          </cell>
          <cell r="D36">
            <v>0.443</v>
          </cell>
          <cell r="F36">
            <v>95000</v>
          </cell>
        </row>
        <row r="37">
          <cell r="B37" t="str">
            <v>§¸ d¨m 4 x 2</v>
          </cell>
          <cell r="C37" t="str">
            <v>m3</v>
          </cell>
          <cell r="D37">
            <v>0.86899999999999999</v>
          </cell>
          <cell r="F37">
            <v>99894</v>
          </cell>
        </row>
        <row r="38">
          <cell r="B38" t="str">
            <v>Gç cèp pha</v>
          </cell>
          <cell r="C38" t="str">
            <v>m3</v>
          </cell>
          <cell r="D38">
            <v>0.01</v>
          </cell>
          <cell r="F38">
            <v>1000000</v>
          </cell>
        </row>
        <row r="39">
          <cell r="B39" t="str">
            <v>§inh</v>
          </cell>
          <cell r="C39" t="str">
            <v>kg</v>
          </cell>
          <cell r="D39">
            <v>0.95</v>
          </cell>
          <cell r="F39">
            <v>7000</v>
          </cell>
        </row>
      </sheetData>
      <sheetData sheetId="4"/>
      <sheetData sheetId="5"/>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H"/>
      <sheetName val="BANG 2.1"/>
      <sheetName val="BANG 2.3"/>
      <sheetName val="BANG 3.1"/>
      <sheetName val="cac loai chi phi"/>
      <sheetName val="SD C+K"/>
      <sheetName val="chi tiet"/>
      <sheetName val="phan tich"/>
      <sheetName val="Gia VLHT"/>
      <sheetName val="so sanh"/>
      <sheetName val="bocxep-VCNBcogioi (2)"/>
      <sheetName val="noi bo"/>
      <sheetName val="boc xep"/>
      <sheetName val="VC ChauThanh"/>
      <sheetName val="VC BenTre"/>
      <sheetName val="VC song"/>
      <sheetName val="nhân công"/>
      <sheetName val="maythicong"/>
      <sheetName val="truot gia"/>
      <sheetName val="chi phi chu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7">
          <cell r="B7" t="str">
            <v xml:space="preserve">   - Cát vàng modul 2.0</v>
          </cell>
          <cell r="C7" t="str">
            <v>m3</v>
          </cell>
          <cell r="D7">
            <v>455000</v>
          </cell>
          <cell r="E7">
            <v>2760</v>
          </cell>
          <cell r="F7">
            <v>40376.934000000001</v>
          </cell>
          <cell r="G7">
            <v>40376.934000000001</v>
          </cell>
          <cell r="H7">
            <v>0.05</v>
          </cell>
          <cell r="I7">
            <v>24906.846700000002</v>
          </cell>
          <cell r="J7">
            <v>563420.71470000001</v>
          </cell>
        </row>
        <row r="8">
          <cell r="B8" t="str">
            <v xml:space="preserve">   - Cát vàng modul 1.6</v>
          </cell>
          <cell r="C8" t="str">
            <v>m3</v>
          </cell>
          <cell r="D8">
            <v>273000</v>
          </cell>
          <cell r="E8">
            <v>5520</v>
          </cell>
          <cell r="F8">
            <v>40376.934000000001</v>
          </cell>
          <cell r="G8">
            <v>40376.934000000001</v>
          </cell>
          <cell r="H8">
            <v>0.05</v>
          </cell>
          <cell r="I8">
            <v>15944.846700000002</v>
          </cell>
          <cell r="J8">
            <v>375218.71470000001</v>
          </cell>
        </row>
        <row r="9">
          <cell r="B9" t="str">
            <v xml:space="preserve">   - Cát mịn</v>
          </cell>
          <cell r="C9" t="str">
            <v>m3</v>
          </cell>
          <cell r="D9">
            <v>180000</v>
          </cell>
          <cell r="E9">
            <v>5520</v>
          </cell>
          <cell r="F9">
            <v>40376.934000000001</v>
          </cell>
          <cell r="G9">
            <v>40376.934000000001</v>
          </cell>
          <cell r="H9">
            <v>7.4999999999999997E-2</v>
          </cell>
          <cell r="I9">
            <v>16942.270049999999</v>
          </cell>
          <cell r="J9">
            <v>283216.13805000001</v>
          </cell>
        </row>
        <row r="10">
          <cell r="B10" t="str">
            <v xml:space="preserve">   - Cát đắp</v>
          </cell>
          <cell r="C10" t="str">
            <v>m3</v>
          </cell>
          <cell r="D10">
            <v>95000</v>
          </cell>
          <cell r="E10">
            <v>4800</v>
          </cell>
          <cell r="H10">
            <v>0.05</v>
          </cell>
          <cell r="I10">
            <v>4990</v>
          </cell>
          <cell r="J10">
            <v>104790</v>
          </cell>
        </row>
        <row r="11">
          <cell r="B11" t="str">
            <v xml:space="preserve">   - Cát bơm</v>
          </cell>
          <cell r="C11" t="str">
            <v>m3</v>
          </cell>
          <cell r="D11">
            <v>95000</v>
          </cell>
          <cell r="E11">
            <v>4800</v>
          </cell>
          <cell r="H11">
            <v>0</v>
          </cell>
          <cell r="I11">
            <v>0</v>
          </cell>
          <cell r="J11">
            <v>99800</v>
          </cell>
        </row>
        <row r="12">
          <cell r="B12" t="str">
            <v xml:space="preserve">   - Đá 1x2 xanh (đá Đồng Nai)</v>
          </cell>
          <cell r="C12" t="str">
            <v>m3</v>
          </cell>
          <cell r="D12">
            <v>450000</v>
          </cell>
          <cell r="E12">
            <v>3200</v>
          </cell>
          <cell r="F12">
            <v>53318.258999999998</v>
          </cell>
          <cell r="G12">
            <v>53318.258999999998</v>
          </cell>
          <cell r="H12">
            <v>5.0000000000000001E-3</v>
          </cell>
          <cell r="I12">
            <v>2532.5912950000002</v>
          </cell>
          <cell r="J12">
            <v>562369.10929500009</v>
          </cell>
        </row>
        <row r="13">
          <cell r="B13" t="str">
            <v xml:space="preserve">   - Đá 2x4</v>
          </cell>
          <cell r="C13" t="str">
            <v>m3</v>
          </cell>
          <cell r="D13">
            <v>336000</v>
          </cell>
          <cell r="E13">
            <v>3200</v>
          </cell>
          <cell r="F13">
            <v>53318.258999999998</v>
          </cell>
          <cell r="G13">
            <v>53318.258999999998</v>
          </cell>
          <cell r="H13">
            <v>5.0000000000000001E-3</v>
          </cell>
          <cell r="I13">
            <v>1962.5912950000002</v>
          </cell>
          <cell r="J13">
            <v>447799.10929500003</v>
          </cell>
        </row>
        <row r="14">
          <cell r="B14" t="str">
            <v xml:space="preserve">   - Đá 4x6</v>
          </cell>
          <cell r="C14" t="str">
            <v>m3</v>
          </cell>
          <cell r="D14">
            <v>336000</v>
          </cell>
          <cell r="E14">
            <v>3000</v>
          </cell>
          <cell r="F14">
            <v>53318.258999999998</v>
          </cell>
          <cell r="G14">
            <v>53318.258999999998</v>
          </cell>
          <cell r="H14">
            <v>5.0000000000000001E-3</v>
          </cell>
          <cell r="I14">
            <v>1961.5912950000002</v>
          </cell>
          <cell r="J14">
            <v>447598.10929500003</v>
          </cell>
        </row>
        <row r="15">
          <cell r="B15" t="str">
            <v xml:space="preserve">   - Đá 0-4 (MBCT)</v>
          </cell>
          <cell r="C15" t="str">
            <v>m3</v>
          </cell>
          <cell r="D15">
            <v>300000</v>
          </cell>
          <cell r="E15">
            <v>3100</v>
          </cell>
          <cell r="F15">
            <v>53318.258999999998</v>
          </cell>
          <cell r="H15">
            <v>5.0000000000000001E-3</v>
          </cell>
          <cell r="I15">
            <v>1782.0912950000002</v>
          </cell>
          <cell r="J15">
            <v>358200.35029500001</v>
          </cell>
        </row>
        <row r="16">
          <cell r="B16" t="str">
            <v xml:space="preserve">   - Đá 0-4</v>
          </cell>
          <cell r="C16" t="str">
            <v>m3</v>
          </cell>
          <cell r="D16">
            <v>300000</v>
          </cell>
          <cell r="E16">
            <v>3100</v>
          </cell>
          <cell r="F16">
            <v>53318.258999999998</v>
          </cell>
          <cell r="G16">
            <v>53318.258999999998</v>
          </cell>
          <cell r="H16">
            <v>5.0000000000000001E-3</v>
          </cell>
          <cell r="I16">
            <v>1782.0912950000002</v>
          </cell>
          <cell r="J16">
            <v>411518.60929500003</v>
          </cell>
        </row>
        <row r="17">
          <cell r="B17" t="str">
            <v xml:space="preserve">   - Đá dăm loại I</v>
          </cell>
          <cell r="C17" t="str">
            <v>m3</v>
          </cell>
          <cell r="D17">
            <v>427000</v>
          </cell>
          <cell r="E17">
            <v>3100</v>
          </cell>
          <cell r="F17">
            <v>53318.258999999998</v>
          </cell>
          <cell r="G17">
            <v>53318.258999999998</v>
          </cell>
          <cell r="H17">
            <v>5.0000000000000001E-3</v>
          </cell>
          <cell r="I17">
            <v>2417.0912950000002</v>
          </cell>
          <cell r="J17">
            <v>539153.60929500009</v>
          </cell>
        </row>
        <row r="18">
          <cell r="B18" t="str">
            <v xml:space="preserve">   - Đá dăm loại II</v>
          </cell>
          <cell r="C18" t="str">
            <v>m3</v>
          </cell>
          <cell r="D18">
            <v>405000</v>
          </cell>
          <cell r="E18">
            <v>3100</v>
          </cell>
          <cell r="F18">
            <v>53318.258999999998</v>
          </cell>
          <cell r="G18">
            <v>53318.258999999998</v>
          </cell>
          <cell r="H18">
            <v>5.0000000000000001E-3</v>
          </cell>
          <cell r="I18">
            <v>2307.0912950000002</v>
          </cell>
          <cell r="J18">
            <v>517043.60929500003</v>
          </cell>
        </row>
        <row r="19">
          <cell r="B19" t="str">
            <v xml:space="preserve">   - Đá mi</v>
          </cell>
          <cell r="C19" t="str">
            <v>m3</v>
          </cell>
          <cell r="D19">
            <v>345000</v>
          </cell>
          <cell r="E19">
            <v>6200</v>
          </cell>
          <cell r="F19">
            <v>53318.258999999998</v>
          </cell>
          <cell r="G19">
            <v>53318.258999999998</v>
          </cell>
          <cell r="H19">
            <v>5.0000000000000001E-3</v>
          </cell>
          <cell r="I19">
            <v>2022.5912950000002</v>
          </cell>
          <cell r="J19">
            <v>459859.10929500003</v>
          </cell>
        </row>
        <row r="20">
          <cell r="B20" t="str">
            <v xml:space="preserve">   - Đá mi (MBCT)</v>
          </cell>
          <cell r="C20" t="str">
            <v>m3</v>
          </cell>
          <cell r="D20">
            <v>345000</v>
          </cell>
          <cell r="E20">
            <v>6200</v>
          </cell>
          <cell r="F20">
            <v>53318.258999999998</v>
          </cell>
          <cell r="H20">
            <v>5.0000000000000001E-3</v>
          </cell>
          <cell r="I20">
            <v>2022.5912950000002</v>
          </cell>
          <cell r="J20">
            <v>406540.85029500001</v>
          </cell>
        </row>
        <row r="21">
          <cell r="B21" t="str">
            <v xml:space="preserve">   - Đá hộc</v>
          </cell>
          <cell r="C21" t="str">
            <v>m3</v>
          </cell>
          <cell r="D21">
            <v>375000</v>
          </cell>
          <cell r="E21">
            <v>3000</v>
          </cell>
          <cell r="F21">
            <v>53318.258999999998</v>
          </cell>
          <cell r="G21">
            <v>53318.258999999998</v>
          </cell>
          <cell r="H21">
            <v>5.0000000000000001E-3</v>
          </cell>
          <cell r="I21">
            <v>2156.5912950000002</v>
          </cell>
          <cell r="J21">
            <v>486793.10929500003</v>
          </cell>
        </row>
        <row r="22">
          <cell r="B22" t="str">
            <v xml:space="preserve">   - Thép tròn d&lt;=10mm</v>
          </cell>
          <cell r="C22" t="str">
            <v>kg</v>
          </cell>
          <cell r="D22">
            <v>12593</v>
          </cell>
          <cell r="E22">
            <v>2</v>
          </cell>
          <cell r="F22">
            <v>72.816522000000006</v>
          </cell>
          <cell r="G22">
            <v>72.816522000000006</v>
          </cell>
          <cell r="J22">
            <v>12740.633043999998</v>
          </cell>
        </row>
        <row r="23">
          <cell r="B23" t="str">
            <v xml:space="preserve">   - Thép tròn d&lt;=18mm</v>
          </cell>
          <cell r="C23" t="str">
            <v>kg</v>
          </cell>
          <cell r="D23">
            <v>13650</v>
          </cell>
          <cell r="E23">
            <v>2</v>
          </cell>
          <cell r="F23">
            <v>72.816522000000006</v>
          </cell>
          <cell r="G23">
            <v>72.816522000000006</v>
          </cell>
          <cell r="J23">
            <v>13797.633043999998</v>
          </cell>
        </row>
        <row r="24">
          <cell r="B24" t="str">
            <v xml:space="preserve">   - Thép tròn d&gt;18mm</v>
          </cell>
          <cell r="C24" t="str">
            <v>kg</v>
          </cell>
          <cell r="D24">
            <v>13753</v>
          </cell>
          <cell r="E24">
            <v>2</v>
          </cell>
          <cell r="F24">
            <v>72.816522000000006</v>
          </cell>
          <cell r="G24">
            <v>72.816522000000006</v>
          </cell>
          <cell r="J24">
            <v>13900.633043999998</v>
          </cell>
        </row>
        <row r="25">
          <cell r="B25" t="str">
            <v xml:space="preserve">   - Thép ống đen</v>
          </cell>
          <cell r="C25" t="str">
            <v>kg</v>
          </cell>
          <cell r="D25">
            <v>18000</v>
          </cell>
          <cell r="E25">
            <v>2</v>
          </cell>
          <cell r="F25">
            <v>72.816522000000006</v>
          </cell>
          <cell r="G25">
            <v>72.816522000000006</v>
          </cell>
          <cell r="J25">
            <v>18147.633044000002</v>
          </cell>
        </row>
        <row r="26">
          <cell r="B26" t="str">
            <v xml:space="preserve">   - Thép hình các loai</v>
          </cell>
          <cell r="C26" t="str">
            <v>kg</v>
          </cell>
          <cell r="D26">
            <v>14464</v>
          </cell>
          <cell r="E26">
            <v>2</v>
          </cell>
          <cell r="F26">
            <v>72.816522000000006</v>
          </cell>
          <cell r="G26">
            <v>72.816522000000006</v>
          </cell>
          <cell r="J26">
            <v>14611.633043999998</v>
          </cell>
        </row>
        <row r="27">
          <cell r="B27" t="str">
            <v xml:space="preserve">   - Cột chống thép ống</v>
          </cell>
          <cell r="C27" t="str">
            <v>kg</v>
          </cell>
          <cell r="D27">
            <v>18000</v>
          </cell>
          <cell r="E27">
            <v>2</v>
          </cell>
          <cell r="F27">
            <v>72.816522000000006</v>
          </cell>
          <cell r="G27">
            <v>72.816522000000006</v>
          </cell>
          <cell r="J27">
            <v>18147.633044000002</v>
          </cell>
        </row>
        <row r="28">
          <cell r="B28" t="str">
            <v xml:space="preserve">   - Thép hình</v>
          </cell>
          <cell r="C28" t="str">
            <v>kg</v>
          </cell>
          <cell r="D28">
            <v>14464</v>
          </cell>
          <cell r="E28">
            <v>2</v>
          </cell>
          <cell r="F28">
            <v>72.816522000000006</v>
          </cell>
          <cell r="G28">
            <v>72.816522000000006</v>
          </cell>
          <cell r="J28">
            <v>14611.633043999998</v>
          </cell>
        </row>
        <row r="29">
          <cell r="B29" t="str">
            <v xml:space="preserve">   - Cừ Larsen IV</v>
          </cell>
          <cell r="C29" t="str">
            <v>kg</v>
          </cell>
          <cell r="D29">
            <v>14818</v>
          </cell>
          <cell r="E29">
            <v>120.05454545454546</v>
          </cell>
          <cell r="J29">
            <v>14938.054545454546</v>
          </cell>
        </row>
        <row r="30">
          <cell r="B30" t="str">
            <v xml:space="preserve">   - Cừ Larsen III</v>
          </cell>
          <cell r="C30" t="str">
            <v>kg</v>
          </cell>
          <cell r="D30">
            <v>14818</v>
          </cell>
          <cell r="E30">
            <v>120.05454545454546</v>
          </cell>
          <cell r="J30">
            <v>14938.054545454546</v>
          </cell>
        </row>
        <row r="31">
          <cell r="B31" t="str">
            <v xml:space="preserve">   - Cừ nối thép</v>
          </cell>
          <cell r="C31" t="str">
            <v>kg</v>
          </cell>
          <cell r="D31">
            <v>14818</v>
          </cell>
          <cell r="E31">
            <v>120.05454545454546</v>
          </cell>
          <cell r="J31">
            <v>14938.054545454546</v>
          </cell>
        </row>
        <row r="32">
          <cell r="B32" t="str">
            <v xml:space="preserve">   -Cọc ống thép các loại</v>
          </cell>
          <cell r="C32" t="str">
            <v>kg</v>
          </cell>
          <cell r="D32">
            <v>14818</v>
          </cell>
          <cell r="E32">
            <v>120.05454545454546</v>
          </cell>
          <cell r="J32">
            <v>14938.054545454546</v>
          </cell>
        </row>
        <row r="33">
          <cell r="B33" t="str">
            <v xml:space="preserve">   - Thép tấm</v>
          </cell>
          <cell r="C33" t="str">
            <v>kg</v>
          </cell>
          <cell r="D33">
            <v>13909</v>
          </cell>
          <cell r="E33">
            <v>120.05454545454546</v>
          </cell>
          <cell r="J33">
            <v>14029.054545454546</v>
          </cell>
        </row>
        <row r="34">
          <cell r="B34" t="str">
            <v xml:space="preserve">   - Thép tấm inox</v>
          </cell>
          <cell r="C34" t="str">
            <v>kg</v>
          </cell>
          <cell r="D34">
            <v>55000</v>
          </cell>
          <cell r="E34">
            <v>120.05454545454546</v>
          </cell>
          <cell r="J34">
            <v>55120.054545454543</v>
          </cell>
        </row>
        <row r="35">
          <cell r="B35" t="str">
            <v xml:space="preserve">   - Thép hình inox</v>
          </cell>
          <cell r="C35" t="str">
            <v>kg</v>
          </cell>
          <cell r="D35">
            <v>55000</v>
          </cell>
          <cell r="E35">
            <v>120.05454545454546</v>
          </cell>
          <cell r="J35">
            <v>55120.054545454543</v>
          </cell>
        </row>
        <row r="36">
          <cell r="B36" t="str">
            <v xml:space="preserve">   - Thép góc inox</v>
          </cell>
          <cell r="C36" t="str">
            <v>kg</v>
          </cell>
          <cell r="D36">
            <v>55000</v>
          </cell>
          <cell r="E36">
            <v>120.05454545454546</v>
          </cell>
          <cell r="J36">
            <v>55120.054545454543</v>
          </cell>
        </row>
        <row r="37">
          <cell r="B37" t="str">
            <v xml:space="preserve">   - Thép ống inox</v>
          </cell>
          <cell r="C37" t="str">
            <v>kg</v>
          </cell>
          <cell r="D37">
            <v>55000</v>
          </cell>
          <cell r="E37">
            <v>120.05454545454546</v>
          </cell>
          <cell r="J37">
            <v>55120.054545454543</v>
          </cell>
        </row>
        <row r="38">
          <cell r="B38" t="str">
            <v xml:space="preserve">   - Thép mạ kẽm</v>
          </cell>
          <cell r="C38" t="str">
            <v>kg</v>
          </cell>
          <cell r="D38">
            <v>23818</v>
          </cell>
          <cell r="E38">
            <v>120.05454545454546</v>
          </cell>
          <cell r="J38">
            <v>23938.054545454546</v>
          </cell>
        </row>
        <row r="39">
          <cell r="B39" t="str">
            <v xml:space="preserve">   - Xi măng PC40 Hà Tiên</v>
          </cell>
          <cell r="C39" t="str">
            <v>kg</v>
          </cell>
          <cell r="D39">
            <v>1509.0909090909088</v>
          </cell>
          <cell r="E39">
            <v>2</v>
          </cell>
          <cell r="F39">
            <v>44.000504999999997</v>
          </cell>
          <cell r="G39">
            <v>44.000504999999997</v>
          </cell>
          <cell r="H39">
            <v>5.0000000000000001E-3</v>
          </cell>
          <cell r="J39">
            <v>1599.0919190909087</v>
          </cell>
        </row>
        <row r="40">
          <cell r="B40" t="str">
            <v xml:space="preserve">   - Xi măng PC40</v>
          </cell>
          <cell r="C40" t="str">
            <v>kg</v>
          </cell>
          <cell r="D40">
            <v>1400</v>
          </cell>
          <cell r="E40">
            <v>2</v>
          </cell>
          <cell r="F40">
            <v>44.000504999999997</v>
          </cell>
          <cell r="G40">
            <v>44.000504999999997</v>
          </cell>
          <cell r="H40">
            <v>5.0000000000000001E-3</v>
          </cell>
          <cell r="J40">
            <v>1490.00101</v>
          </cell>
        </row>
        <row r="41">
          <cell r="B41" t="str">
            <v xml:space="preserve">   - Gỗ cop pha</v>
          </cell>
          <cell r="C41" t="str">
            <v>m3</v>
          </cell>
          <cell r="D41">
            <v>7090909.0909090899</v>
          </cell>
          <cell r="E41">
            <v>3080</v>
          </cell>
          <cell r="F41">
            <v>43137.75</v>
          </cell>
          <cell r="J41">
            <v>7137126.8409090899</v>
          </cell>
        </row>
        <row r="42">
          <cell r="B42" t="str">
            <v xml:space="preserve">   - Gỗ ván cầu công tác</v>
          </cell>
          <cell r="C42" t="str">
            <v>m3</v>
          </cell>
          <cell r="D42">
            <v>7090909.0909090899</v>
          </cell>
          <cell r="E42">
            <v>3080</v>
          </cell>
          <cell r="F42">
            <v>43137.75</v>
          </cell>
          <cell r="J42">
            <v>7137126.8409090899</v>
          </cell>
        </row>
        <row r="43">
          <cell r="B43" t="str">
            <v xml:space="preserve">   - Gỗ chống</v>
          </cell>
          <cell r="C43" t="str">
            <v>m3</v>
          </cell>
          <cell r="D43">
            <v>7090909.0909090899</v>
          </cell>
          <cell r="E43">
            <v>3080</v>
          </cell>
          <cell r="F43">
            <v>43137.75</v>
          </cell>
          <cell r="J43">
            <v>7137126.8409090899</v>
          </cell>
        </row>
        <row r="44">
          <cell r="B44" t="str">
            <v xml:space="preserve">   - Gỗ ván</v>
          </cell>
          <cell r="C44" t="str">
            <v>m3</v>
          </cell>
          <cell r="D44">
            <v>7090909.0909090899</v>
          </cell>
          <cell r="E44">
            <v>3080</v>
          </cell>
          <cell r="F44">
            <v>43137.75</v>
          </cell>
          <cell r="J44">
            <v>7137126.8409090899</v>
          </cell>
        </row>
        <row r="45">
          <cell r="B45" t="str">
            <v xml:space="preserve">   - Gỗ đà nẹp</v>
          </cell>
          <cell r="C45" t="str">
            <v>m3</v>
          </cell>
          <cell r="D45">
            <v>7090909.0909090899</v>
          </cell>
          <cell r="E45">
            <v>3080</v>
          </cell>
          <cell r="F45">
            <v>43137.75</v>
          </cell>
          <cell r="J45">
            <v>7137126.8409090899</v>
          </cell>
        </row>
        <row r="46">
          <cell r="B46" t="str">
            <v xml:space="preserve">   - Gỗ chống</v>
          </cell>
          <cell r="C46" t="str">
            <v>m3</v>
          </cell>
          <cell r="D46">
            <v>7090909.0909090899</v>
          </cell>
          <cell r="E46">
            <v>3080</v>
          </cell>
          <cell r="F46">
            <v>43137.75</v>
          </cell>
          <cell r="J46">
            <v>7137126.8409090899</v>
          </cell>
        </row>
        <row r="47">
          <cell r="B47" t="str">
            <v xml:space="preserve">   - Gỗ xẻ</v>
          </cell>
          <cell r="C47" t="str">
            <v>m3</v>
          </cell>
          <cell r="D47">
            <v>11363636.363636363</v>
          </cell>
          <cell r="E47">
            <v>3080</v>
          </cell>
          <cell r="F47">
            <v>43137.75</v>
          </cell>
          <cell r="J47">
            <v>11409854.113636363</v>
          </cell>
        </row>
        <row r="48">
          <cell r="B48" t="str">
            <v xml:space="preserve">   - Gạch thẻ 4x8x19</v>
          </cell>
          <cell r="C48" t="str">
            <v>viên</v>
          </cell>
          <cell r="D48">
            <v>1272.7272727272725</v>
          </cell>
          <cell r="F48">
            <v>77.130297000000013</v>
          </cell>
          <cell r="G48">
            <v>77.130297000000013</v>
          </cell>
          <cell r="J48">
            <v>1426.9878667272724</v>
          </cell>
        </row>
        <row r="49">
          <cell r="B49" t="str">
            <v xml:space="preserve">   - Gạch ống  8x8x19</v>
          </cell>
          <cell r="C49" t="str">
            <v>viên</v>
          </cell>
          <cell r="D49">
            <v>1227.2727272727273</v>
          </cell>
          <cell r="F49">
            <v>77.130297000000013</v>
          </cell>
          <cell r="G49">
            <v>77.130297000000013</v>
          </cell>
          <cell r="J49">
            <v>1381.5333212727271</v>
          </cell>
        </row>
        <row r="50">
          <cell r="B50" t="str">
            <v xml:space="preserve">   - Dầm BTCT DUL I.400 L=9m 50% HL93</v>
          </cell>
          <cell r="C50" t="str">
            <v>dầm</v>
          </cell>
          <cell r="D50">
            <v>10145454.545454545</v>
          </cell>
          <cell r="E50">
            <v>13504.333333333334</v>
          </cell>
          <cell r="J50">
            <v>10158958.878787879</v>
          </cell>
        </row>
        <row r="51">
          <cell r="B51" t="str">
            <v xml:space="preserve">   - Dầm BTCT DUL I.400 L=12m 50% HL93</v>
          </cell>
          <cell r="C51" t="str">
            <v>dầm</v>
          </cell>
          <cell r="D51">
            <v>13527272.727272727</v>
          </cell>
          <cell r="E51">
            <v>13504.333333333334</v>
          </cell>
          <cell r="J51">
            <v>13540777.060606061</v>
          </cell>
        </row>
        <row r="52">
          <cell r="B52" t="str">
            <v xml:space="preserve">   - Dầm BTCT DUL I.400 L=9m 65% HL93</v>
          </cell>
          <cell r="C52" t="str">
            <v>dầm</v>
          </cell>
          <cell r="D52">
            <v>9900000</v>
          </cell>
          <cell r="E52">
            <v>13504.333333333334</v>
          </cell>
          <cell r="J52">
            <v>9913504.333333334</v>
          </cell>
        </row>
        <row r="53">
          <cell r="B53" t="str">
            <v xml:space="preserve">   - Dầm BTCT DUL I.400 L=12m 65% HL93</v>
          </cell>
          <cell r="C53" t="str">
            <v>dầm</v>
          </cell>
          <cell r="D53">
            <v>13200000</v>
          </cell>
          <cell r="E53">
            <v>13504.333333333334</v>
          </cell>
          <cell r="J53">
            <v>13213504.333333334</v>
          </cell>
        </row>
        <row r="54">
          <cell r="B54" t="str">
            <v xml:space="preserve">   - Dầm BTCT DUL I.400 L=11m 65% HL93</v>
          </cell>
          <cell r="C54" t="str">
            <v>dầm</v>
          </cell>
          <cell r="D54">
            <v>12100000</v>
          </cell>
          <cell r="E54">
            <v>13504.333333333334</v>
          </cell>
          <cell r="J54">
            <v>12113504.333333334</v>
          </cell>
        </row>
        <row r="55">
          <cell r="B55" t="str">
            <v xml:space="preserve">   - Dầm BTCT DUL I.280 L=8m 65% HL93</v>
          </cell>
          <cell r="C55" t="str">
            <v>dầm</v>
          </cell>
          <cell r="D55">
            <v>8145454.5454545449</v>
          </cell>
          <cell r="E55">
            <v>13504.333333333334</v>
          </cell>
          <cell r="J55">
            <v>8158958.878787878</v>
          </cell>
        </row>
        <row r="56">
          <cell r="B56" t="str">
            <v xml:space="preserve">   - Cọc vuông BTCT 25x25cm</v>
          </cell>
          <cell r="C56" t="str">
            <v>m</v>
          </cell>
          <cell r="D56">
            <v>190909</v>
          </cell>
          <cell r="J56">
            <v>190909</v>
          </cell>
        </row>
        <row r="57">
          <cell r="B57" t="str">
            <v xml:space="preserve">   - Cọc vuông BTCT 30x30cm</v>
          </cell>
          <cell r="C57" t="str">
            <v>m</v>
          </cell>
          <cell r="D57">
            <v>274909</v>
          </cell>
          <cell r="J57">
            <v>274909</v>
          </cell>
        </row>
        <row r="58">
          <cell r="B58" t="str">
            <v xml:space="preserve">   - Cọc vuông BTCT 35x35cm</v>
          </cell>
          <cell r="C58" t="str">
            <v>m</v>
          </cell>
          <cell r="D58">
            <v>374909</v>
          </cell>
          <cell r="J58">
            <v>374909</v>
          </cell>
        </row>
        <row r="59">
          <cell r="B59" t="str">
            <v xml:space="preserve">   - Cọc vuông BTCT 40x40cm</v>
          </cell>
          <cell r="C59" t="str">
            <v>m</v>
          </cell>
          <cell r="D59">
            <v>488727</v>
          </cell>
          <cell r="J59">
            <v>488727</v>
          </cell>
        </row>
        <row r="60">
          <cell r="B60" t="str">
            <v xml:space="preserve">   - Cọc cừ máng BT SW350A</v>
          </cell>
          <cell r="C60" t="str">
            <v>m</v>
          </cell>
          <cell r="D60">
            <v>1050000</v>
          </cell>
          <cell r="E60">
            <v>737.77777777777771</v>
          </cell>
          <cell r="J60">
            <v>1050737.7777777778</v>
          </cell>
        </row>
        <row r="61">
          <cell r="B61" t="str">
            <v xml:space="preserve">   - Cọc cừ máng BT SW600A</v>
          </cell>
          <cell r="C61" t="str">
            <v>m</v>
          </cell>
          <cell r="D61">
            <v>1590909.0909090908</v>
          </cell>
          <cell r="E61">
            <v>1041.25</v>
          </cell>
          <cell r="J61">
            <v>1591950.3409090908</v>
          </cell>
        </row>
        <row r="62">
          <cell r="B62" t="str">
            <v xml:space="preserve">   - Cọc cừ máng BT SW600B</v>
          </cell>
          <cell r="C62" t="str">
            <v>m</v>
          </cell>
          <cell r="D62">
            <v>1627272.7272727271</v>
          </cell>
          <cell r="E62">
            <v>1041.25</v>
          </cell>
          <cell r="J62">
            <v>1628313.9772727271</v>
          </cell>
        </row>
        <row r="63">
          <cell r="B63" t="str">
            <v xml:space="preserve">   - Cáp neo 12.7mm</v>
          </cell>
          <cell r="C63" t="str">
            <v>m</v>
          </cell>
          <cell r="D63">
            <v>10454.545454545454</v>
          </cell>
          <cell r="J63">
            <v>10454.545454545454</v>
          </cell>
        </row>
        <row r="64">
          <cell r="B64" t="str">
            <v xml:space="preserve">   - Ống cống D1000mm</v>
          </cell>
          <cell r="C64" t="str">
            <v>m</v>
          </cell>
          <cell r="D64">
            <v>1154454.5454545454</v>
          </cell>
          <cell r="J64">
            <v>1154454.5454545454</v>
          </cell>
        </row>
        <row r="65">
          <cell r="B65" t="str">
            <v>Vật liệu khác:</v>
          </cell>
          <cell r="C65" t="str">
            <v>bộ</v>
          </cell>
          <cell r="J65">
            <v>0</v>
          </cell>
        </row>
        <row r="66">
          <cell r="B66" t="str">
            <v xml:space="preserve">   - Acetylen</v>
          </cell>
          <cell r="C66" t="str">
            <v>chai</v>
          </cell>
          <cell r="D66">
            <v>200000</v>
          </cell>
          <cell r="J66">
            <v>200000</v>
          </cell>
        </row>
        <row r="67">
          <cell r="B67" t="str">
            <v xml:space="preserve">   - Bao tảI dứa</v>
          </cell>
          <cell r="C67" t="str">
            <v>bao</v>
          </cell>
          <cell r="D67">
            <v>3000</v>
          </cell>
          <cell r="J67">
            <v>3000</v>
          </cell>
        </row>
        <row r="68">
          <cell r="B68" t="str">
            <v xml:space="preserve">   - Bu lông</v>
          </cell>
          <cell r="C68" t="str">
            <v>cái</v>
          </cell>
          <cell r="D68">
            <v>4500</v>
          </cell>
          <cell r="J68">
            <v>4500</v>
          </cell>
        </row>
        <row r="69">
          <cell r="B69" t="str">
            <v xml:space="preserve">   -Bulông M10</v>
          </cell>
          <cell r="C69" t="str">
            <v>cái</v>
          </cell>
          <cell r="D69">
            <v>4500</v>
          </cell>
          <cell r="J69">
            <v>4500</v>
          </cell>
        </row>
        <row r="70">
          <cell r="B70" t="str">
            <v xml:space="preserve">   - Bu lông d16 L10</v>
          </cell>
          <cell r="C70" t="str">
            <v>cái</v>
          </cell>
          <cell r="D70">
            <v>2200</v>
          </cell>
          <cell r="J70">
            <v>2200</v>
          </cell>
        </row>
        <row r="71">
          <cell r="B71" t="str">
            <v xml:space="preserve">   - Bu lông M14</v>
          </cell>
          <cell r="C71" t="str">
            <v>cái</v>
          </cell>
          <cell r="D71">
            <v>3500</v>
          </cell>
          <cell r="J71">
            <v>3500</v>
          </cell>
        </row>
        <row r="72">
          <cell r="B72" t="str">
            <v xml:space="preserve">   - Bu lông M20</v>
          </cell>
          <cell r="C72" t="str">
            <v>cái</v>
          </cell>
          <cell r="D72">
            <v>5300</v>
          </cell>
          <cell r="J72">
            <v>5300</v>
          </cell>
        </row>
        <row r="73">
          <cell r="B73" t="str">
            <v xml:space="preserve">   - Bulông+ lói</v>
          </cell>
          <cell r="C73" t="str">
            <v>cái</v>
          </cell>
          <cell r="D73">
            <v>5300</v>
          </cell>
          <cell r="J73">
            <v>5300</v>
          </cell>
        </row>
        <row r="74">
          <cell r="B74" t="str">
            <v xml:space="preserve">   - Bu lông M20x80</v>
          </cell>
          <cell r="C74" t="str">
            <v>cái</v>
          </cell>
          <cell r="D74">
            <v>7000</v>
          </cell>
          <cell r="J74">
            <v>7000</v>
          </cell>
        </row>
        <row r="75">
          <cell r="B75" t="str">
            <v xml:space="preserve">   - Bu lông M20x80 inox</v>
          </cell>
          <cell r="C75" t="str">
            <v>cái</v>
          </cell>
          <cell r="D75">
            <v>15000</v>
          </cell>
          <cell r="J75">
            <v>15000</v>
          </cell>
        </row>
        <row r="76">
          <cell r="B76" t="str">
            <v xml:space="preserve">   - Bulông M20 inox</v>
          </cell>
          <cell r="C76" t="str">
            <v>cái</v>
          </cell>
          <cell r="D76">
            <v>20000</v>
          </cell>
          <cell r="J76">
            <v>20000</v>
          </cell>
        </row>
        <row r="77">
          <cell r="B77" t="str">
            <v xml:space="preserve">   - Bật sắt d=10mm</v>
          </cell>
          <cell r="C77" t="str">
            <v>m</v>
          </cell>
          <cell r="D77">
            <v>2000</v>
          </cell>
          <cell r="J77">
            <v>2000</v>
          </cell>
        </row>
        <row r="78">
          <cell r="B78" t="str">
            <v xml:space="preserve">   -Bản lề</v>
          </cell>
          <cell r="C78" t="str">
            <v>cái</v>
          </cell>
          <cell r="D78">
            <v>15455</v>
          </cell>
          <cell r="J78">
            <v>15455</v>
          </cell>
        </row>
        <row r="79">
          <cell r="B79" t="str">
            <v xml:space="preserve">   -Bánh xe D100</v>
          </cell>
          <cell r="C79" t="str">
            <v>cái</v>
          </cell>
          <cell r="D79">
            <v>60000</v>
          </cell>
          <cell r="J79">
            <v>60000</v>
          </cell>
        </row>
        <row r="80">
          <cell r="B80" t="str">
            <v xml:space="preserve">    - Gối cống D1000mm</v>
          </cell>
          <cell r="C80" t="str">
            <v>cái</v>
          </cell>
          <cell r="D80">
            <v>345000</v>
          </cell>
          <cell r="J80">
            <v>345000</v>
          </cell>
        </row>
        <row r="81">
          <cell r="B81" t="str">
            <v xml:space="preserve">   - Gối cầu thép</v>
          </cell>
          <cell r="C81" t="str">
            <v>bộ</v>
          </cell>
          <cell r="D81">
            <v>2818200</v>
          </cell>
          <cell r="J81">
            <v>2818200</v>
          </cell>
        </row>
        <row r="82">
          <cell r="B82" t="str">
            <v xml:space="preserve">   - Cây chống</v>
          </cell>
          <cell r="C82" t="str">
            <v>cây</v>
          </cell>
          <cell r="D82">
            <v>15454.545454545454</v>
          </cell>
          <cell r="J82">
            <v>15454.545454545454</v>
          </cell>
        </row>
        <row r="83">
          <cell r="B83" t="str">
            <v xml:space="preserve">   - Cây Viết</v>
          </cell>
          <cell r="C83" t="str">
            <v>cây</v>
          </cell>
          <cell r="D83">
            <v>181818.18181818179</v>
          </cell>
          <cell r="J83">
            <v>181818.18181818179</v>
          </cell>
        </row>
        <row r="84">
          <cell r="B84" t="str">
            <v xml:space="preserve">   -Chốt khóa đứng +ngang</v>
          </cell>
          <cell r="C84" t="str">
            <v>bộ</v>
          </cell>
          <cell r="D84">
            <v>100000</v>
          </cell>
          <cell r="J84">
            <v>100000</v>
          </cell>
        </row>
        <row r="85">
          <cell r="B85" t="str">
            <v xml:space="preserve">   - Cỏ gừng</v>
          </cell>
          <cell r="D85">
            <v>25000</v>
          </cell>
          <cell r="J85">
            <v>25000</v>
          </cell>
        </row>
        <row r="86">
          <cell r="B86" t="str">
            <v xml:space="preserve">   - Cọc tràm Dgốc8-10cm, L=4.5m</v>
          </cell>
          <cell r="C86" t="str">
            <v>m</v>
          </cell>
          <cell r="D86">
            <v>6868.6868686868684</v>
          </cell>
          <cell r="J86">
            <v>6868.6868686868684</v>
          </cell>
        </row>
        <row r="87">
          <cell r="B87" t="str">
            <v xml:space="preserve">   - Cọc tràm Dgốc8-10cm,Dngọn&gt;=3,5cm L=3m</v>
          </cell>
          <cell r="C87" t="str">
            <v>m</v>
          </cell>
          <cell r="D87">
            <v>6363.6363636363631</v>
          </cell>
          <cell r="J87">
            <v>6363.6363636363631</v>
          </cell>
        </row>
        <row r="88">
          <cell r="B88" t="str">
            <v xml:space="preserve">   - Cọc tràm Dgốc8-10cm,Dngọn&gt;=4cm L=4m</v>
          </cell>
          <cell r="C88" t="str">
            <v>m</v>
          </cell>
          <cell r="D88">
            <v>6590.9090909090901</v>
          </cell>
          <cell r="J88">
            <v>6590.9090909090901</v>
          </cell>
        </row>
        <row r="89">
          <cell r="B89" t="str">
            <v xml:space="preserve">   - Cồn rửa</v>
          </cell>
          <cell r="C89" t="str">
            <v>lít</v>
          </cell>
          <cell r="D89">
            <v>20000</v>
          </cell>
          <cell r="J89">
            <v>20000</v>
          </cell>
        </row>
        <row r="90">
          <cell r="B90" t="str">
            <v xml:space="preserve">   - Nhựa bitum</v>
          </cell>
          <cell r="C90" t="str">
            <v>kg</v>
          </cell>
          <cell r="D90">
            <v>11182</v>
          </cell>
          <cell r="J90">
            <v>11182</v>
          </cell>
        </row>
        <row r="91">
          <cell r="B91" t="str">
            <v xml:space="preserve">   - Cọc gỗ d20 L&lt;=10m</v>
          </cell>
          <cell r="C91" t="str">
            <v>m</v>
          </cell>
          <cell r="D91">
            <v>25000</v>
          </cell>
          <cell r="J91">
            <v>25000</v>
          </cell>
        </row>
        <row r="92">
          <cell r="B92" t="str">
            <v xml:space="preserve">   - Gạch ốp (5x20)cm</v>
          </cell>
          <cell r="C92" t="str">
            <v>m2</v>
          </cell>
          <cell r="D92">
            <v>25000</v>
          </cell>
          <cell r="J92">
            <v>25000</v>
          </cell>
        </row>
        <row r="93">
          <cell r="B93" t="str">
            <v xml:space="preserve">   - Củi đốt</v>
          </cell>
          <cell r="C93" t="str">
            <v>kg</v>
          </cell>
          <cell r="D93">
            <v>1000</v>
          </cell>
          <cell r="J93">
            <v>1000</v>
          </cell>
        </row>
        <row r="94">
          <cell r="B94" t="str">
            <v xml:space="preserve">   - Dung môi PUH 3519</v>
          </cell>
          <cell r="D94">
            <v>60000</v>
          </cell>
          <cell r="J94">
            <v>60000</v>
          </cell>
        </row>
        <row r="95">
          <cell r="B95" t="str">
            <v xml:space="preserve">   - Dung môi PUV</v>
          </cell>
          <cell r="D95">
            <v>60000</v>
          </cell>
          <cell r="J95">
            <v>60000</v>
          </cell>
        </row>
        <row r="96">
          <cell r="B96" t="str">
            <v xml:space="preserve">   - Dây thép</v>
          </cell>
          <cell r="D96">
            <v>15455</v>
          </cell>
          <cell r="J96">
            <v>15455</v>
          </cell>
        </row>
        <row r="97">
          <cell r="B97" t="str">
            <v xml:space="preserve">  - Ngói 22 V/m2</v>
          </cell>
          <cell r="C97" t="str">
            <v>viên</v>
          </cell>
          <cell r="D97">
            <v>5273</v>
          </cell>
          <cell r="J97">
            <v>5273</v>
          </cell>
        </row>
        <row r="98">
          <cell r="B98" t="str">
            <v xml:space="preserve">   - Dây thừng</v>
          </cell>
          <cell r="D98">
            <v>3000</v>
          </cell>
          <cell r="J98">
            <v>3000</v>
          </cell>
        </row>
        <row r="99">
          <cell r="B99" t="str">
            <v xml:space="preserve">   - Gas</v>
          </cell>
          <cell r="C99" t="str">
            <v>kg</v>
          </cell>
          <cell r="D99">
            <v>21212</v>
          </cell>
          <cell r="J99">
            <v>21212</v>
          </cell>
        </row>
        <row r="100">
          <cell r="B100" t="str">
            <v xml:space="preserve">   - Giấy nhám</v>
          </cell>
          <cell r="C100" t="str">
            <v>m2</v>
          </cell>
          <cell r="D100">
            <v>15000</v>
          </cell>
          <cell r="J100">
            <v>15000</v>
          </cell>
        </row>
        <row r="101">
          <cell r="B101" t="str">
            <v xml:space="preserve">   - Gối cầu cao su (0,4x0,4x0,05)</v>
          </cell>
          <cell r="D101">
            <v>568181.81818181812</v>
          </cell>
          <cell r="J101">
            <v>568181.81818181812</v>
          </cell>
        </row>
        <row r="102">
          <cell r="B102" t="str">
            <v xml:space="preserve">   - Gối cầu cao su (560x203x50)</v>
          </cell>
          <cell r="D102">
            <v>749999.99999999988</v>
          </cell>
          <cell r="J102">
            <v>749999.99999999988</v>
          </cell>
        </row>
        <row r="103">
          <cell r="B103" t="str">
            <v xml:space="preserve">   - Gối cầu cao su (350x150x25)</v>
          </cell>
          <cell r="D103">
            <v>159090.90909090909</v>
          </cell>
          <cell r="J103">
            <v>159090.90909090909</v>
          </cell>
        </row>
        <row r="104">
          <cell r="B104" t="str">
            <v xml:space="preserve">   - Gối cầu cao su (350x150x50)</v>
          </cell>
          <cell r="D104">
            <v>259090.90909090906</v>
          </cell>
          <cell r="J104">
            <v>259090.90909090906</v>
          </cell>
        </row>
        <row r="105">
          <cell r="B105" t="str">
            <v xml:space="preserve">   - Gioăng cao su d1500mm</v>
          </cell>
          <cell r="D105">
            <v>10560</v>
          </cell>
          <cell r="J105">
            <v>10560</v>
          </cell>
        </row>
        <row r="106">
          <cell r="B106" t="str">
            <v xml:space="preserve">   -Khóa</v>
          </cell>
          <cell r="D106">
            <v>68181.818181818177</v>
          </cell>
          <cell r="J106">
            <v>68181.818181818177</v>
          </cell>
        </row>
        <row r="107">
          <cell r="B107" t="str">
            <v xml:space="preserve">   -Khoá ống D48,1mm</v>
          </cell>
          <cell r="D107">
            <v>45000</v>
          </cell>
          <cell r="J107">
            <v>45000</v>
          </cell>
        </row>
        <row r="108">
          <cell r="B108" t="str">
            <v xml:space="preserve">   - Khí ga</v>
          </cell>
          <cell r="D108">
            <v>21212</v>
          </cell>
          <cell r="J108">
            <v>21212</v>
          </cell>
        </row>
        <row r="109">
          <cell r="B109" t="str">
            <v xml:space="preserve">   - Lưới thép B40</v>
          </cell>
          <cell r="D109">
            <v>37300</v>
          </cell>
          <cell r="J109">
            <v>37300</v>
          </cell>
        </row>
        <row r="110">
          <cell r="B110" t="str">
            <v xml:space="preserve">   - Màng phản quang</v>
          </cell>
          <cell r="D110">
            <v>450900</v>
          </cell>
          <cell r="J110">
            <v>450900</v>
          </cell>
        </row>
        <row r="111">
          <cell r="B111" t="str">
            <v xml:space="preserve">   - Mạ kẽm</v>
          </cell>
          <cell r="D111">
            <v>9000</v>
          </cell>
          <cell r="J111">
            <v>9000</v>
          </cell>
        </row>
        <row r="112">
          <cell r="B112" t="str">
            <v xml:space="preserve">   - Ma tit</v>
          </cell>
          <cell r="D112">
            <v>7272.7272727272721</v>
          </cell>
          <cell r="J112">
            <v>7272.7272727272721</v>
          </cell>
        </row>
        <row r="113">
          <cell r="B113" t="str">
            <v xml:space="preserve">   - Giấy ráp</v>
          </cell>
          <cell r="D113">
            <v>30000</v>
          </cell>
          <cell r="J113">
            <v>30000</v>
          </cell>
        </row>
        <row r="114">
          <cell r="B114" t="str">
            <v xml:space="preserve">   - Mỡ bôi trơn</v>
          </cell>
          <cell r="D114">
            <v>30200</v>
          </cell>
          <cell r="J114">
            <v>30200</v>
          </cell>
        </row>
        <row r="115">
          <cell r="B115" t="str">
            <v xml:space="preserve">   - Dầu bôi</v>
          </cell>
          <cell r="D115">
            <v>31818</v>
          </cell>
          <cell r="J115">
            <v>31818</v>
          </cell>
        </row>
        <row r="116">
          <cell r="B116" t="str">
            <v xml:space="preserve">   - Mực in cao cấp</v>
          </cell>
          <cell r="D116">
            <v>70000</v>
          </cell>
          <cell r="J116">
            <v>70000</v>
          </cell>
        </row>
        <row r="117">
          <cell r="B117" t="str">
            <v xml:space="preserve">   - Nước</v>
          </cell>
          <cell r="D117">
            <v>7272.7272727272721</v>
          </cell>
          <cell r="J117">
            <v>7272.7272727272721</v>
          </cell>
        </row>
        <row r="118">
          <cell r="B118" t="str">
            <v xml:space="preserve">   - Nắp chụp nhựa 80</v>
          </cell>
          <cell r="D118">
            <v>4500</v>
          </cell>
          <cell r="J118">
            <v>4500</v>
          </cell>
        </row>
        <row r="119">
          <cell r="B119" t="str">
            <v xml:space="preserve">   - Phên tre</v>
          </cell>
          <cell r="D119">
            <v>10000</v>
          </cell>
          <cell r="J119">
            <v>10000</v>
          </cell>
        </row>
        <row r="120">
          <cell r="B120" t="str">
            <v xml:space="preserve">   - Que hàn</v>
          </cell>
          <cell r="D120">
            <v>25454.545454545452</v>
          </cell>
          <cell r="J120">
            <v>25454.545454545452</v>
          </cell>
        </row>
        <row r="121">
          <cell r="B121" t="str">
            <v xml:space="preserve">   - Que hàn inox</v>
          </cell>
          <cell r="D121">
            <v>120000</v>
          </cell>
          <cell r="J121">
            <v>120000</v>
          </cell>
        </row>
        <row r="122">
          <cell r="B122" t="str">
            <v xml:space="preserve">   - Rọ thép bọc PVC (2x1x0.5)m</v>
          </cell>
          <cell r="D122">
            <v>416250</v>
          </cell>
          <cell r="J122">
            <v>416250</v>
          </cell>
        </row>
        <row r="123">
          <cell r="B123" t="str">
            <v xml:space="preserve">   - Rọ thép bọc PVC (4x2x0.5)m</v>
          </cell>
          <cell r="D123">
            <v>1210000</v>
          </cell>
          <cell r="J123">
            <v>1210000</v>
          </cell>
        </row>
        <row r="124">
          <cell r="B124" t="str">
            <v xml:space="preserve">   - Sơn</v>
          </cell>
          <cell r="D124">
            <v>55000</v>
          </cell>
          <cell r="J124">
            <v>55000</v>
          </cell>
        </row>
        <row r="125">
          <cell r="B125" t="str">
            <v xml:space="preserve">   - Tà vẹt gỗ</v>
          </cell>
          <cell r="C125" t="str">
            <v>cái</v>
          </cell>
          <cell r="D125">
            <v>529200</v>
          </cell>
          <cell r="J125">
            <v>529200</v>
          </cell>
        </row>
        <row r="126">
          <cell r="B126" t="str">
            <v xml:space="preserve">   - Sơn chống rỉ</v>
          </cell>
          <cell r="D126">
            <v>65455</v>
          </cell>
          <cell r="J126">
            <v>65455</v>
          </cell>
        </row>
        <row r="127">
          <cell r="B127" t="str">
            <v xml:space="preserve">   - Sơn dầu</v>
          </cell>
          <cell r="D127">
            <v>55000</v>
          </cell>
          <cell r="J127">
            <v>55000</v>
          </cell>
        </row>
        <row r="128">
          <cell r="B128" t="str">
            <v xml:space="preserve">   - Sắt ống d=80mm </v>
          </cell>
          <cell r="D128">
            <v>148542.52631416649</v>
          </cell>
          <cell r="J128">
            <v>148542.52631416649</v>
          </cell>
        </row>
        <row r="129">
          <cell r="B129" t="str">
            <v xml:space="preserve">   - Thảm đá 6.0x2.0x0.3m (dẫn dòng)</v>
          </cell>
          <cell r="D129">
            <v>1256100</v>
          </cell>
          <cell r="J129">
            <v>1256100</v>
          </cell>
        </row>
        <row r="130">
          <cell r="B130" t="str">
            <v xml:space="preserve">   - Thảm đá 6.0x2.0x0.3m</v>
          </cell>
          <cell r="D130">
            <v>1335600</v>
          </cell>
          <cell r="J130">
            <v>1335600</v>
          </cell>
        </row>
        <row r="131">
          <cell r="B131" t="str">
            <v xml:space="preserve">   - Tre cây D6-8cm, L=7-9m</v>
          </cell>
          <cell r="D131">
            <v>20000</v>
          </cell>
          <cell r="J131">
            <v>20000</v>
          </cell>
        </row>
        <row r="132">
          <cell r="B132" t="str">
            <v xml:space="preserve">   - Vải bạt</v>
          </cell>
          <cell r="D132">
            <v>2727.272727272727</v>
          </cell>
          <cell r="J132">
            <v>2727.272727272727</v>
          </cell>
        </row>
        <row r="133">
          <cell r="B133" t="str">
            <v xml:space="preserve">   - Vải địa KT</v>
          </cell>
          <cell r="D133">
            <v>14000</v>
          </cell>
          <cell r="J133">
            <v>14000</v>
          </cell>
        </row>
        <row r="134">
          <cell r="B134" t="str">
            <v xml:space="preserve">   - Vải địa kỹ thuật( tương đương TS65)</v>
          </cell>
          <cell r="D134">
            <v>25900</v>
          </cell>
          <cell r="J134">
            <v>25900</v>
          </cell>
        </row>
        <row r="135">
          <cell r="B135" t="str">
            <v xml:space="preserve">   - Vải địa kỹ thuật( tương đương TS30)</v>
          </cell>
          <cell r="D135">
            <v>14000</v>
          </cell>
          <cell r="J135">
            <v>14000</v>
          </cell>
        </row>
        <row r="136">
          <cell r="B136" t="str">
            <v xml:space="preserve">   - Vải địa kỹ thuật( tương đương TS30)- dẫn dõng</v>
          </cell>
          <cell r="D136">
            <v>11000</v>
          </cell>
          <cell r="J136">
            <v>11000</v>
          </cell>
        </row>
        <row r="137">
          <cell r="B137" t="str">
            <v xml:space="preserve">   - Vải địa kỹ thuật( tương đương TS40)</v>
          </cell>
          <cell r="D137">
            <v>16300</v>
          </cell>
          <cell r="J137">
            <v>16300</v>
          </cell>
        </row>
        <row r="138">
          <cell r="B138" t="str">
            <v xml:space="preserve">   - Cầu thép NT2.6A sơn</v>
          </cell>
          <cell r="C138" t="str">
            <v>m</v>
          </cell>
          <cell r="D138">
            <v>11800000</v>
          </cell>
          <cell r="J138">
            <v>11800000</v>
          </cell>
        </row>
        <row r="139">
          <cell r="B139" t="str">
            <v xml:space="preserve">   - Xi măng trắng</v>
          </cell>
          <cell r="D139">
            <v>2590.9090909090905</v>
          </cell>
          <cell r="J139">
            <v>2590.9090909090905</v>
          </cell>
        </row>
        <row r="140">
          <cell r="B140" t="str">
            <v xml:space="preserve">   - Xà nẹp</v>
          </cell>
          <cell r="D140">
            <v>15000</v>
          </cell>
          <cell r="J140">
            <v>15000</v>
          </cell>
        </row>
        <row r="141">
          <cell r="B141" t="str">
            <v xml:space="preserve">   - Xăng</v>
          </cell>
          <cell r="D141">
            <v>17175.454545454544</v>
          </cell>
          <cell r="J141">
            <v>17175.454545454544</v>
          </cell>
        </row>
        <row r="142">
          <cell r="B142" t="str">
            <v xml:space="preserve">   - Ô xy</v>
          </cell>
          <cell r="C142" t="str">
            <v>chai</v>
          </cell>
          <cell r="D142">
            <v>90909</v>
          </cell>
          <cell r="J142">
            <v>90909</v>
          </cell>
        </row>
        <row r="143">
          <cell r="B143" t="str">
            <v xml:space="preserve">   - Đinh</v>
          </cell>
          <cell r="C143" t="str">
            <v>cái</v>
          </cell>
          <cell r="D143">
            <v>27272.727272727272</v>
          </cell>
          <cell r="J143">
            <v>27272.727272727272</v>
          </cell>
        </row>
        <row r="144">
          <cell r="B144" t="str">
            <v xml:space="preserve">   - Đinh tán d20</v>
          </cell>
          <cell r="C144" t="str">
            <v>cái</v>
          </cell>
          <cell r="D144">
            <v>280</v>
          </cell>
          <cell r="J144">
            <v>280</v>
          </cell>
        </row>
        <row r="145">
          <cell r="B145" t="str">
            <v xml:space="preserve">   - Đinh tán d20 inox</v>
          </cell>
          <cell r="C145" t="str">
            <v>cái</v>
          </cell>
          <cell r="D145">
            <v>1500</v>
          </cell>
          <cell r="J145">
            <v>1500</v>
          </cell>
        </row>
        <row r="146">
          <cell r="B146" t="str">
            <v xml:space="preserve">   - Đinh đỉa</v>
          </cell>
          <cell r="C146" t="str">
            <v>cái</v>
          </cell>
          <cell r="D146">
            <v>1500</v>
          </cell>
          <cell r="J146">
            <v>1500</v>
          </cell>
        </row>
        <row r="147">
          <cell r="B147" t="str">
            <v xml:space="preserve">   - Đá cắt</v>
          </cell>
          <cell r="C147" t="str">
            <v>viên</v>
          </cell>
          <cell r="D147">
            <v>35000</v>
          </cell>
          <cell r="J147">
            <v>35000</v>
          </cell>
        </row>
        <row r="148">
          <cell r="B148" t="str">
            <v xml:space="preserve">   - Đá mài</v>
          </cell>
          <cell r="C148" t="str">
            <v>viên</v>
          </cell>
          <cell r="D148">
            <v>35000</v>
          </cell>
          <cell r="J148">
            <v>35000</v>
          </cell>
        </row>
        <row r="149">
          <cell r="B149" t="str">
            <v xml:space="preserve">   - Bột đá</v>
          </cell>
          <cell r="C149" t="str">
            <v>viên</v>
          </cell>
          <cell r="D149">
            <v>2727</v>
          </cell>
          <cell r="J149">
            <v>2727</v>
          </cell>
        </row>
        <row r="150">
          <cell r="B150" t="str">
            <v xml:space="preserve">   - Đồng</v>
          </cell>
          <cell r="C150" t="str">
            <v>kg</v>
          </cell>
          <cell r="D150">
            <v>182320</v>
          </cell>
          <cell r="J150">
            <v>182320</v>
          </cell>
        </row>
        <row r="151">
          <cell r="B151" t="str">
            <v xml:space="preserve">   - Đất đèn</v>
          </cell>
          <cell r="C151" t="str">
            <v>kg</v>
          </cell>
          <cell r="D151">
            <v>13636</v>
          </cell>
          <cell r="J151">
            <v>13636</v>
          </cell>
        </row>
        <row r="152">
          <cell r="B152" t="str">
            <v xml:space="preserve">   - Đèn tín hiệu</v>
          </cell>
          <cell r="C152" t="str">
            <v>cái</v>
          </cell>
          <cell r="D152">
            <v>81818.181818181809</v>
          </cell>
          <cell r="J152">
            <v>81818.181818181809</v>
          </cell>
        </row>
        <row r="153">
          <cell r="B153" t="str">
            <v xml:space="preserve">   - Dây tìn hiệu</v>
          </cell>
          <cell r="C153" t="str">
            <v>cuộn</v>
          </cell>
          <cell r="D153">
            <v>90909.090909090897</v>
          </cell>
          <cell r="J153">
            <v>90909.090909090897</v>
          </cell>
        </row>
        <row r="154">
          <cell r="B154" t="str">
            <v xml:space="preserve">   - Đất màu</v>
          </cell>
          <cell r="C154" t="str">
            <v>m3</v>
          </cell>
          <cell r="D154">
            <v>36364</v>
          </cell>
          <cell r="J154">
            <v>36364</v>
          </cell>
        </row>
        <row r="155">
          <cell r="B155" t="str">
            <v xml:space="preserve">   - Tôn tráng kẽm dày 1,2mm</v>
          </cell>
          <cell r="C155" t="str">
            <v>kg</v>
          </cell>
          <cell r="D155">
            <v>23000</v>
          </cell>
          <cell r="J155">
            <v>23000</v>
          </cell>
        </row>
        <row r="156">
          <cell r="B156" t="str">
            <v xml:space="preserve">   - Phụ gia dẻo hóa</v>
          </cell>
          <cell r="C156" t="str">
            <v>kg</v>
          </cell>
          <cell r="D156">
            <v>25000</v>
          </cell>
          <cell r="J156">
            <v>25000</v>
          </cell>
        </row>
        <row r="157">
          <cell r="B157" t="str">
            <v xml:space="preserve">   -Tấm sóng (3320x310x3)mm</v>
          </cell>
          <cell r="D157">
            <v>583200</v>
          </cell>
          <cell r="J157">
            <v>583200</v>
          </cell>
        </row>
        <row r="158">
          <cell r="B158" t="str">
            <v xml:space="preserve">   -Tấm đầu cong</v>
          </cell>
          <cell r="D158">
            <v>320000</v>
          </cell>
          <cell r="J158">
            <v>320000</v>
          </cell>
        </row>
        <row r="159">
          <cell r="B159" t="str">
            <v xml:space="preserve">   -Cột U160x160x5x1750mm</v>
          </cell>
          <cell r="D159">
            <v>364800</v>
          </cell>
          <cell r="J159">
            <v>364800</v>
          </cell>
        </row>
        <row r="160">
          <cell r="B160" t="str">
            <v xml:space="preserve">   -Đệm U160x160x5x360mm</v>
          </cell>
          <cell r="D160">
            <v>220000</v>
          </cell>
          <cell r="J160">
            <v>220000</v>
          </cell>
        </row>
        <row r="161">
          <cell r="B161" t="str">
            <v xml:space="preserve">   -Bu lông M20x360</v>
          </cell>
          <cell r="C161" t="str">
            <v>cái</v>
          </cell>
          <cell r="D161">
            <v>16000</v>
          </cell>
          <cell r="J161">
            <v>16000</v>
          </cell>
        </row>
        <row r="162">
          <cell r="B162" t="str">
            <v xml:space="preserve">   - Bu lông M16x36</v>
          </cell>
          <cell r="C162" t="str">
            <v>cái</v>
          </cell>
          <cell r="D162">
            <v>3676.363636363636</v>
          </cell>
          <cell r="J162">
            <v>3676.363636363636</v>
          </cell>
        </row>
        <row r="163">
          <cell r="B163" t="str">
            <v xml:space="preserve">   - Tăng đơ 40mm</v>
          </cell>
          <cell r="D163">
            <v>16000</v>
          </cell>
          <cell r="J163">
            <v>16000</v>
          </cell>
        </row>
        <row r="164">
          <cell r="B164" t="str">
            <v xml:space="preserve">   - Tiêu phản quang</v>
          </cell>
          <cell r="D164">
            <v>12000</v>
          </cell>
          <cell r="J164">
            <v>12000</v>
          </cell>
        </row>
        <row r="165">
          <cell r="B165" t="str">
            <v xml:space="preserve">   - Keo Bituminuos</v>
          </cell>
          <cell r="C165" t="str">
            <v>kg</v>
          </cell>
          <cell r="D165">
            <v>90909</v>
          </cell>
          <cell r="J165">
            <v>90909</v>
          </cell>
        </row>
        <row r="166">
          <cell r="B166" t="str">
            <v xml:space="preserve">   - Vôi cục</v>
          </cell>
          <cell r="C166" t="str">
            <v>kg</v>
          </cell>
          <cell r="D166">
            <v>2545.454545454545</v>
          </cell>
          <cell r="J166">
            <v>2545.454545454545</v>
          </cell>
        </row>
        <row r="167">
          <cell r="B167" t="str">
            <v xml:space="preserve">   - Phèn chua</v>
          </cell>
          <cell r="D167">
            <v>8000</v>
          </cell>
          <cell r="J167">
            <v>8000</v>
          </cell>
        </row>
        <row r="168">
          <cell r="B168" t="str">
            <v xml:space="preserve">   - ống đổ d300</v>
          </cell>
          <cell r="C168" t="str">
            <v>m</v>
          </cell>
          <cell r="D168">
            <v>150000</v>
          </cell>
          <cell r="J168">
            <v>150000</v>
          </cell>
        </row>
        <row r="169">
          <cell r="B169" t="str">
            <v xml:space="preserve">   - ống xói d50mm            </v>
          </cell>
          <cell r="C169" t="str">
            <v>m</v>
          </cell>
          <cell r="D169">
            <v>35000</v>
          </cell>
          <cell r="J169">
            <v>35000</v>
          </cell>
        </row>
        <row r="170">
          <cell r="B170" t="str">
            <v xml:space="preserve">   - ống xói d150mm            </v>
          </cell>
          <cell r="C170" t="str">
            <v>m</v>
          </cell>
          <cell r="D170">
            <v>70000</v>
          </cell>
          <cell r="J170">
            <v>70000</v>
          </cell>
        </row>
        <row r="171">
          <cell r="B171" t="str">
            <v xml:space="preserve">   - ống xói d250mm          </v>
          </cell>
          <cell r="C171" t="str">
            <v>m</v>
          </cell>
          <cell r="D171">
            <v>100000</v>
          </cell>
          <cell r="J171">
            <v>100000</v>
          </cell>
        </row>
        <row r="172">
          <cell r="B172" t="str">
            <v xml:space="preserve">   - ống PVC D200, dày 6.2mm</v>
          </cell>
          <cell r="C172" t="str">
            <v>m</v>
          </cell>
          <cell r="D172">
            <v>235299.99999999997</v>
          </cell>
          <cell r="J172">
            <v>235299.99999999997</v>
          </cell>
        </row>
        <row r="173">
          <cell r="B173" t="str">
            <v xml:space="preserve">   - ống nhựa PVC D200</v>
          </cell>
          <cell r="C173" t="str">
            <v>m</v>
          </cell>
          <cell r="D173">
            <v>235299.99999999997</v>
          </cell>
          <cell r="J173">
            <v>235299.99999999997</v>
          </cell>
        </row>
        <row r="174">
          <cell r="B174" t="str">
            <v xml:space="preserve">   - ống nhựa PVC D400mm</v>
          </cell>
          <cell r="C174" t="str">
            <v>m</v>
          </cell>
          <cell r="D174">
            <v>924090.90909090906</v>
          </cell>
          <cell r="J174">
            <v>924090.90909090906</v>
          </cell>
        </row>
        <row r="175">
          <cell r="B175" t="str">
            <v xml:space="preserve">   - ống nhựa D60mm, dày 2,5mm</v>
          </cell>
          <cell r="C175" t="str">
            <v>m</v>
          </cell>
          <cell r="D175">
            <v>27545.454545454544</v>
          </cell>
          <cell r="J175">
            <v>27545.454545454544</v>
          </cell>
        </row>
        <row r="176">
          <cell r="B176" t="str">
            <v xml:space="preserve">   - ống nhựa D40mm, dày 2,4mm</v>
          </cell>
          <cell r="C176" t="str">
            <v>m</v>
          </cell>
          <cell r="D176">
            <v>19700</v>
          </cell>
          <cell r="J176">
            <v>19700</v>
          </cell>
        </row>
        <row r="177">
          <cell r="B177" t="str">
            <v xml:space="preserve">   - ống nhựa D30mm, dày 2,4mm</v>
          </cell>
          <cell r="C177" t="str">
            <v>m</v>
          </cell>
          <cell r="D177">
            <v>15499.999999999998</v>
          </cell>
          <cell r="J177">
            <v>15499.999999999998</v>
          </cell>
        </row>
        <row r="178">
          <cell r="B178" t="str">
            <v xml:space="preserve">   - ống nhựa D32mm, dày 2,4mm</v>
          </cell>
          <cell r="C178" t="str">
            <v>m</v>
          </cell>
          <cell r="D178">
            <v>15499.999999999998</v>
          </cell>
          <cell r="J178">
            <v>15499.999999999998</v>
          </cell>
        </row>
        <row r="179">
          <cell r="B179" t="str">
            <v xml:space="preserve">   - ống nhựa D34mm, dày 2mm</v>
          </cell>
          <cell r="C179" t="str">
            <v>m</v>
          </cell>
          <cell r="D179">
            <v>12272.727272727272</v>
          </cell>
          <cell r="J179">
            <v>12272.727272727272</v>
          </cell>
        </row>
        <row r="180">
          <cell r="B180" t="str">
            <v xml:space="preserve">   - ống nhựa D50mm, dày 3mm</v>
          </cell>
          <cell r="C180" t="str">
            <v>m</v>
          </cell>
          <cell r="D180">
            <v>30399.999999999996</v>
          </cell>
          <cell r="J180">
            <v>30399.999999999996</v>
          </cell>
        </row>
        <row r="181">
          <cell r="B181" t="str">
            <v xml:space="preserve">   - Sắt ống d=80mm dày 2.9mm</v>
          </cell>
          <cell r="C181" t="str">
            <v>cây</v>
          </cell>
          <cell r="D181">
            <v>360000</v>
          </cell>
          <cell r="J181">
            <v>360000</v>
          </cell>
        </row>
        <row r="182">
          <cell r="B182" t="str">
            <v xml:space="preserve">   - Tiêu phản quang</v>
          </cell>
          <cell r="D182">
            <v>12000</v>
          </cell>
          <cell r="J182">
            <v>12000</v>
          </cell>
        </row>
        <row r="183">
          <cell r="B183" t="str">
            <v xml:space="preserve">   - Sơn lót ICI Dulux chống kiềm</v>
          </cell>
          <cell r="C183" t="str">
            <v>lít</v>
          </cell>
          <cell r="D183">
            <v>93636.363636363618</v>
          </cell>
          <cell r="J183">
            <v>93636.363636363618</v>
          </cell>
        </row>
        <row r="184">
          <cell r="B184" t="str">
            <v xml:space="preserve">   - Sơn ICI Dulux Weather Shield</v>
          </cell>
          <cell r="C184" t="str">
            <v>lít</v>
          </cell>
          <cell r="D184">
            <v>167272.72727272726</v>
          </cell>
          <cell r="J184">
            <v>167272.72727272726</v>
          </cell>
        </row>
        <row r="185">
          <cell r="B185" t="str">
            <v xml:space="preserve">   - Bạch đàn L=7m</v>
          </cell>
          <cell r="C185" t="str">
            <v>m</v>
          </cell>
          <cell r="D185">
            <v>24285.714285714286</v>
          </cell>
          <cell r="J185">
            <v>24285.714285714286</v>
          </cell>
        </row>
        <row r="186">
          <cell r="B186" t="str">
            <v xml:space="preserve">   - Bạch đàn L=3m</v>
          </cell>
          <cell r="C186" t="str">
            <v>m</v>
          </cell>
          <cell r="D186">
            <v>24285.714285714286</v>
          </cell>
          <cell r="J186">
            <v>24285.714285714286</v>
          </cell>
        </row>
        <row r="187">
          <cell r="B187" t="str">
            <v xml:space="preserve">   - Khe co giãn</v>
          </cell>
          <cell r="C187" t="str">
            <v>m</v>
          </cell>
          <cell r="D187">
            <v>1090909.0909090908</v>
          </cell>
          <cell r="J187">
            <v>1090909.0909090908</v>
          </cell>
        </row>
        <row r="188">
          <cell r="B188" t="str">
            <v>Vữa Sikacrout 214-11</v>
          </cell>
          <cell r="C188" t="str">
            <v>m3</v>
          </cell>
          <cell r="D188">
            <v>43448000</v>
          </cell>
          <cell r="J188">
            <v>43448000</v>
          </cell>
        </row>
        <row r="189">
          <cell r="B189" t="str">
            <v xml:space="preserve">   - Bao tải</v>
          </cell>
          <cell r="C189" t="str">
            <v>bao</v>
          </cell>
          <cell r="D189">
            <v>3000</v>
          </cell>
          <cell r="J189">
            <v>3000</v>
          </cell>
        </row>
        <row r="190">
          <cell r="B190" t="str">
            <v xml:space="preserve">   - Nhựa dán</v>
          </cell>
          <cell r="C190" t="str">
            <v>kg</v>
          </cell>
          <cell r="D190">
            <v>20000</v>
          </cell>
          <cell r="J190">
            <v>20000</v>
          </cell>
        </row>
        <row r="191">
          <cell r="B191" t="str">
            <v xml:space="preserve">   - Dây ni lông</v>
          </cell>
          <cell r="C191" t="str">
            <v>kg</v>
          </cell>
          <cell r="D191">
            <v>15455</v>
          </cell>
          <cell r="J191">
            <v>15455</v>
          </cell>
        </row>
        <row r="192">
          <cell r="B192" t="str">
            <v xml:space="preserve">   - Gioăng cao su d1000mm</v>
          </cell>
          <cell r="C192" t="str">
            <v>m</v>
          </cell>
          <cell r="D192">
            <v>20000</v>
          </cell>
          <cell r="J192">
            <v>20000</v>
          </cell>
        </row>
        <row r="193">
          <cell r="B193" t="str">
            <v xml:space="preserve">   -Radcon 7</v>
          </cell>
          <cell r="D193">
            <v>532509.09090909082</v>
          </cell>
          <cell r="J193">
            <v>532509.09090909082</v>
          </cell>
        </row>
        <row r="194">
          <cell r="B194" t="str">
            <v xml:space="preserve">   - Cừ bản nhựa PVC U25 (500x160x6,0)</v>
          </cell>
          <cell r="D194">
            <v>542590.69999999995</v>
          </cell>
          <cell r="J194">
            <v>542590.69999999995</v>
          </cell>
        </row>
        <row r="195">
          <cell r="B195" t="str">
            <v xml:space="preserve">   - ống cao su cao áp d60</v>
          </cell>
          <cell r="D195">
            <v>20000</v>
          </cell>
          <cell r="J195">
            <v>20000</v>
          </cell>
        </row>
        <row r="196">
          <cell r="B196" t="str">
            <v xml:space="preserve">   - ống cao su cao áp d34</v>
          </cell>
          <cell r="D196">
            <v>36000</v>
          </cell>
          <cell r="J196">
            <v>36000</v>
          </cell>
        </row>
        <row r="197">
          <cell r="B197" t="str">
            <v xml:space="preserve">   - Co nhựa D60mm</v>
          </cell>
          <cell r="C197" t="str">
            <v>cái</v>
          </cell>
          <cell r="D197">
            <v>12909.090909090908</v>
          </cell>
          <cell r="J197">
            <v>12909.090909090908</v>
          </cell>
        </row>
        <row r="198">
          <cell r="B198" t="str">
            <v xml:space="preserve">   - Keo dán nhựa</v>
          </cell>
          <cell r="C198" t="str">
            <v>kg</v>
          </cell>
          <cell r="D198">
            <v>25000</v>
          </cell>
          <cell r="J198">
            <v>25000</v>
          </cell>
        </row>
        <row r="199">
          <cell r="B199" t="str">
            <v xml:space="preserve">   - Cút thép đầu cọc d34/15</v>
          </cell>
          <cell r="D199">
            <v>15000</v>
          </cell>
          <cell r="J199">
            <v>15000</v>
          </cell>
        </row>
        <row r="200">
          <cell r="B200" t="str">
            <v xml:space="preserve">    - Khí ga</v>
          </cell>
          <cell r="C200" t="str">
            <v>kg</v>
          </cell>
          <cell r="D200">
            <v>21212</v>
          </cell>
          <cell r="J200">
            <v>21212</v>
          </cell>
        </row>
        <row r="201">
          <cell r="B201" t="str">
            <v xml:space="preserve">   -Separol</v>
          </cell>
          <cell r="C201" t="str">
            <v>lít</v>
          </cell>
          <cell r="D201">
            <v>50000</v>
          </cell>
          <cell r="J201">
            <v>50000</v>
          </cell>
        </row>
        <row r="202">
          <cell r="B202" t="str">
            <v xml:space="preserve">   - Ghim sắt</v>
          </cell>
          <cell r="C202" t="str">
            <v>cây</v>
          </cell>
          <cell r="D202">
            <v>3000</v>
          </cell>
          <cell r="J202">
            <v>3000</v>
          </cell>
        </row>
        <row r="203">
          <cell r="B203" t="str">
            <v xml:space="preserve">   - Thép góc 100x100mm</v>
          </cell>
          <cell r="D203">
            <v>14651.162971930735</v>
          </cell>
          <cell r="J203">
            <v>14651.162971930735</v>
          </cell>
        </row>
        <row r="204">
          <cell r="B204" t="str">
            <v xml:space="preserve">   - Gạch lỗ rỗng (40x40x10)cm</v>
          </cell>
          <cell r="C204" t="str">
            <v>m2</v>
          </cell>
          <cell r="D204">
            <v>100000</v>
          </cell>
          <cell r="J204">
            <v>100000</v>
          </cell>
        </row>
        <row r="205">
          <cell r="B205" t="str">
            <v xml:space="preserve">   - Cỏ</v>
          </cell>
          <cell r="C205" t="str">
            <v>m2</v>
          </cell>
          <cell r="D205">
            <v>5000</v>
          </cell>
          <cell r="J205">
            <v>5000</v>
          </cell>
        </row>
        <row r="206">
          <cell r="B206" t="str">
            <v xml:space="preserve">   - Phân hữu cơ</v>
          </cell>
          <cell r="C206" t="str">
            <v>m2</v>
          </cell>
          <cell r="D206">
            <v>10000</v>
          </cell>
          <cell r="J206">
            <v>10000</v>
          </cell>
        </row>
        <row r="207">
          <cell r="B207" t="str">
            <v xml:space="preserve">   - Tăng đơ 40mm</v>
          </cell>
          <cell r="D207">
            <v>16000</v>
          </cell>
          <cell r="J207">
            <v>16000</v>
          </cell>
        </row>
        <row r="208">
          <cell r="B208" t="str">
            <v xml:space="preserve">   - Join cao su thoát nước</v>
          </cell>
          <cell r="C208" t="str">
            <v>bộ</v>
          </cell>
          <cell r="D208">
            <v>18182</v>
          </cell>
          <cell r="J208">
            <v>18182</v>
          </cell>
        </row>
        <row r="209">
          <cell r="B209" t="str">
            <v xml:space="preserve">   - Tấm nhựa PVC</v>
          </cell>
          <cell r="D209">
            <v>120000</v>
          </cell>
          <cell r="J209">
            <v>120000</v>
          </cell>
        </row>
        <row r="210">
          <cell r="B210" t="str">
            <v xml:space="preserve">   - Tấm thép dày 1mm</v>
          </cell>
          <cell r="D210">
            <v>138000</v>
          </cell>
          <cell r="J210">
            <v>138000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ow r="4">
          <cell r="B4" t="str">
            <v xml:space="preserve">   - Nhân công bậc 2.5/7</v>
          </cell>
          <cell r="C4" t="str">
            <v>Công</v>
          </cell>
          <cell r="D4">
            <v>159769</v>
          </cell>
        </row>
        <row r="5">
          <cell r="B5" t="str">
            <v xml:space="preserve">   - Nhân công bậc 2.7/4</v>
          </cell>
          <cell r="C5" t="str">
            <v>Công</v>
          </cell>
          <cell r="D5">
            <v>164592</v>
          </cell>
        </row>
        <row r="6">
          <cell r="B6" t="str">
            <v xml:space="preserve">   - Nhân công bậc 3.0/7</v>
          </cell>
          <cell r="C6" t="str">
            <v>Công</v>
          </cell>
          <cell r="D6">
            <v>172551</v>
          </cell>
        </row>
        <row r="7">
          <cell r="B7" t="str">
            <v xml:space="preserve">   - Nhân công bậc 3.3/7</v>
          </cell>
          <cell r="C7" t="str">
            <v>Công</v>
          </cell>
          <cell r="D7">
            <v>182137</v>
          </cell>
        </row>
        <row r="8">
          <cell r="B8" t="str">
            <v xml:space="preserve">   - Nhân công bậc 3.5/7</v>
          </cell>
          <cell r="C8" t="str">
            <v>Công</v>
          </cell>
          <cell r="D8">
            <v>188528</v>
          </cell>
        </row>
        <row r="9">
          <cell r="B9" t="str">
            <v xml:space="preserve">   - Nhân công bậc 3.7/7</v>
          </cell>
          <cell r="C9" t="str">
            <v>Công</v>
          </cell>
          <cell r="D9">
            <v>194120</v>
          </cell>
        </row>
        <row r="10">
          <cell r="B10" t="str">
            <v xml:space="preserve">   - Nhân công bậc 4.0/7</v>
          </cell>
          <cell r="C10" t="str">
            <v>Công</v>
          </cell>
          <cell r="D10">
            <v>203706</v>
          </cell>
        </row>
        <row r="11">
          <cell r="B11" t="str">
            <v xml:space="preserve">   - Nhân công bậc 4.3/7</v>
          </cell>
          <cell r="C11" t="str">
            <v>Công</v>
          </cell>
          <cell r="D11">
            <v>214890</v>
          </cell>
        </row>
        <row r="12">
          <cell r="B12" t="str">
            <v xml:space="preserve">   - Nhân công bậc 4.5/7</v>
          </cell>
          <cell r="C12" t="str">
            <v>Công</v>
          </cell>
          <cell r="D12">
            <v>222079</v>
          </cell>
        </row>
        <row r="13">
          <cell r="B13" t="str">
            <v xml:space="preserve">   - Nhân công bậc 5.0/7</v>
          </cell>
          <cell r="C13" t="str">
            <v>Công</v>
          </cell>
          <cell r="D13">
            <v>240453</v>
          </cell>
        </row>
        <row r="14">
          <cell r="B14" t="str">
            <v xml:space="preserve">   -Thuyền trưởng 1/2</v>
          </cell>
          <cell r="C14" t="str">
            <v>Công</v>
          </cell>
          <cell r="D14">
            <v>297970</v>
          </cell>
        </row>
      </sheetData>
      <sheetData sheetId="17">
        <row r="7">
          <cell r="B7" t="str">
            <v xml:space="preserve">   - Búa rung 40kw</v>
          </cell>
          <cell r="C7" t="str">
            <v>Ca</v>
          </cell>
          <cell r="D7">
            <v>685864</v>
          </cell>
          <cell r="E7">
            <v>0</v>
          </cell>
          <cell r="H7">
            <v>0</v>
          </cell>
          <cell r="I7">
            <v>685864</v>
          </cell>
        </row>
        <row r="8">
          <cell r="B8" t="str">
            <v xml:space="preserve">   - Búa rung BP170</v>
          </cell>
          <cell r="C8" t="str">
            <v>Ca</v>
          </cell>
          <cell r="D8">
            <v>1254582</v>
          </cell>
          <cell r="H8">
            <v>0</v>
          </cell>
          <cell r="I8">
            <v>1254582</v>
          </cell>
        </row>
        <row r="9">
          <cell r="B9" t="str">
            <v xml:space="preserve">   - Búa căn khí nén</v>
          </cell>
          <cell r="C9" t="str">
            <v>Ca</v>
          </cell>
          <cell r="D9">
            <v>224128</v>
          </cell>
          <cell r="H9">
            <v>0</v>
          </cell>
          <cell r="I9">
            <v>224128</v>
          </cell>
        </row>
        <row r="10">
          <cell r="B10" t="str">
            <v xml:space="preserve">   - Ca lặn</v>
          </cell>
          <cell r="C10" t="str">
            <v>Ca</v>
          </cell>
          <cell r="D10">
            <v>1400000</v>
          </cell>
          <cell r="H10">
            <v>0</v>
          </cell>
          <cell r="I10">
            <v>1400000</v>
          </cell>
        </row>
        <row r="11">
          <cell r="B11" t="str">
            <v xml:space="preserve">   - Ca nô 150CV</v>
          </cell>
          <cell r="C11" t="str">
            <v>Ca</v>
          </cell>
          <cell r="D11">
            <v>1404264</v>
          </cell>
          <cell r="E11">
            <v>22.5</v>
          </cell>
          <cell r="G11">
            <v>1.02</v>
          </cell>
          <cell r="H11">
            <v>83650.909090909059</v>
          </cell>
          <cell r="I11">
            <v>1487914.9090909092</v>
          </cell>
        </row>
        <row r="12">
          <cell r="B12" t="str">
            <v xml:space="preserve">   - Ca nô 23CV</v>
          </cell>
          <cell r="C12" t="str">
            <v>Ca</v>
          </cell>
          <cell r="D12">
            <v>464424</v>
          </cell>
          <cell r="E12">
            <v>4.83</v>
          </cell>
          <cell r="G12">
            <v>1.02</v>
          </cell>
          <cell r="H12">
            <v>17957.06181818181</v>
          </cell>
          <cell r="I12">
            <v>482381.06181818183</v>
          </cell>
        </row>
        <row r="13">
          <cell r="B13" t="str">
            <v xml:space="preserve">   - Ca nô 30CV</v>
          </cell>
          <cell r="C13" t="str">
            <v>Ca</v>
          </cell>
          <cell r="D13">
            <v>482862</v>
          </cell>
          <cell r="E13">
            <v>6.3</v>
          </cell>
          <cell r="G13">
            <v>1.02</v>
          </cell>
          <cell r="H13">
            <v>23422.254545454536</v>
          </cell>
          <cell r="I13">
            <v>506284.25454545452</v>
          </cell>
        </row>
        <row r="14">
          <cell r="B14" t="str">
            <v xml:space="preserve">   - Cần cẩu ô tô 6T</v>
          </cell>
          <cell r="C14" t="str">
            <v>Ca</v>
          </cell>
          <cell r="D14">
            <v>1537513</v>
          </cell>
          <cell r="E14">
            <v>12</v>
          </cell>
          <cell r="G14">
            <v>1.02</v>
          </cell>
          <cell r="H14">
            <v>44613.818181818162</v>
          </cell>
          <cell r="I14">
            <v>1582126.8181818181</v>
          </cell>
        </row>
        <row r="15">
          <cell r="B15" t="str">
            <v xml:space="preserve">   - Cần cẩu 10Tbánh xích</v>
          </cell>
          <cell r="C15" t="str">
            <v>Ca</v>
          </cell>
          <cell r="D15">
            <v>1742708</v>
          </cell>
          <cell r="E15">
            <v>36</v>
          </cell>
          <cell r="G15">
            <v>1.02</v>
          </cell>
          <cell r="H15">
            <v>133841.45454545447</v>
          </cell>
          <cell r="I15">
            <v>1876549.4545454546</v>
          </cell>
        </row>
        <row r="16">
          <cell r="B16" t="str">
            <v xml:space="preserve">   - Cần cẩu 10T</v>
          </cell>
          <cell r="C16" t="str">
            <v>Ca</v>
          </cell>
          <cell r="D16">
            <v>1742708</v>
          </cell>
          <cell r="E16">
            <v>36</v>
          </cell>
          <cell r="G16">
            <v>1.02</v>
          </cell>
          <cell r="H16">
            <v>133841.45454545447</v>
          </cell>
          <cell r="I16">
            <v>1876549.4545454546</v>
          </cell>
        </row>
        <row r="17">
          <cell r="B17" t="str">
            <v xml:space="preserve">   - Cần cẩu 25Tbánh xích</v>
          </cell>
          <cell r="C17" t="str">
            <v>Ca</v>
          </cell>
          <cell r="D17">
            <v>2544704</v>
          </cell>
          <cell r="E17">
            <v>47</v>
          </cell>
          <cell r="G17">
            <v>1.02</v>
          </cell>
          <cell r="H17">
            <v>174737.45454545447</v>
          </cell>
          <cell r="I17">
            <v>2719441.4545454546</v>
          </cell>
        </row>
        <row r="18">
          <cell r="B18" t="str">
            <v xml:space="preserve">   - Cần cẩu 25Tbánh xích (chờ)</v>
          </cell>
          <cell r="C18" t="str">
            <v>Ca</v>
          </cell>
          <cell r="D18">
            <v>992527</v>
          </cell>
          <cell r="H18">
            <v>0</v>
          </cell>
          <cell r="I18">
            <v>992527</v>
          </cell>
        </row>
        <row r="19">
          <cell r="B19" t="str">
            <v xml:space="preserve">   - Cần cẩu bánh hơi 16T</v>
          </cell>
          <cell r="C19" t="str">
            <v>Ca</v>
          </cell>
          <cell r="D19">
            <v>1662231</v>
          </cell>
          <cell r="E19">
            <v>33</v>
          </cell>
          <cell r="G19">
            <v>1.02</v>
          </cell>
          <cell r="H19">
            <v>122687.99999999994</v>
          </cell>
          <cell r="I19">
            <v>1784919</v>
          </cell>
        </row>
        <row r="20">
          <cell r="B20" t="str">
            <v xml:space="preserve">   - Cần cẩu bánh hơi 10T</v>
          </cell>
          <cell r="C20" t="str">
            <v>Ca</v>
          </cell>
          <cell r="D20">
            <v>1742708</v>
          </cell>
          <cell r="E20">
            <v>33</v>
          </cell>
          <cell r="G20">
            <v>1.02</v>
          </cell>
          <cell r="H20">
            <v>122687.99999999994</v>
          </cell>
          <cell r="I20">
            <v>1865396</v>
          </cell>
        </row>
        <row r="21">
          <cell r="B21" t="str">
            <v xml:space="preserve">   - Cần cẩu bánh xích 16T</v>
          </cell>
          <cell r="C21" t="str">
            <v>Ca</v>
          </cell>
          <cell r="D21">
            <v>2119094</v>
          </cell>
          <cell r="E21">
            <v>45</v>
          </cell>
          <cell r="G21">
            <v>1.02</v>
          </cell>
          <cell r="H21">
            <v>167301.81818181812</v>
          </cell>
          <cell r="I21">
            <v>2286395.8181818184</v>
          </cell>
        </row>
        <row r="22">
          <cell r="B22" t="str">
            <v xml:space="preserve">   - Cần cẩu bánh xích 25T</v>
          </cell>
          <cell r="C22" t="str">
            <v>Ca</v>
          </cell>
          <cell r="D22">
            <v>2544704</v>
          </cell>
          <cell r="E22">
            <v>47</v>
          </cell>
          <cell r="G22">
            <v>1.02</v>
          </cell>
          <cell r="H22">
            <v>174737.45454545447</v>
          </cell>
          <cell r="I22">
            <v>2719441.4545454546</v>
          </cell>
        </row>
        <row r="23">
          <cell r="B23" t="str">
            <v xml:space="preserve">   - Cần trục bánh hơi 6T</v>
          </cell>
          <cell r="C23" t="str">
            <v>Ca</v>
          </cell>
          <cell r="D23">
            <v>719491</v>
          </cell>
          <cell r="E23">
            <v>32.630000000000003</v>
          </cell>
          <cell r="G23">
            <v>1.02</v>
          </cell>
          <cell r="H23">
            <v>121312.40727272723</v>
          </cell>
          <cell r="I23">
            <v>840803.40727272723</v>
          </cell>
        </row>
        <row r="24">
          <cell r="B24" t="str">
            <v xml:space="preserve">   - Cẩu nổi 30T</v>
          </cell>
          <cell r="C24" t="str">
            <v>Ca</v>
          </cell>
          <cell r="D24">
            <v>5854170</v>
          </cell>
          <cell r="E24">
            <v>81</v>
          </cell>
          <cell r="G24">
            <v>1.02</v>
          </cell>
          <cell r="H24">
            <v>301143.27272727259</v>
          </cell>
          <cell r="I24">
            <v>6155313.2727272725</v>
          </cell>
        </row>
        <row r="25">
          <cell r="B25" t="str">
            <v xml:space="preserve">   - Lu bánh lốp 16T</v>
          </cell>
          <cell r="C25" t="str">
            <v>Ca</v>
          </cell>
          <cell r="D25">
            <v>1391773</v>
          </cell>
          <cell r="E25">
            <v>37.799999999999997</v>
          </cell>
          <cell r="G25">
            <v>1.02</v>
          </cell>
          <cell r="H25">
            <v>140533.52727272719</v>
          </cell>
          <cell r="I25">
            <v>1532306.5272727271</v>
          </cell>
        </row>
        <row r="26">
          <cell r="B26" t="str">
            <v xml:space="preserve">   - Lu rung 25T</v>
          </cell>
          <cell r="C26" t="str">
            <v>Ca</v>
          </cell>
          <cell r="D26">
            <v>2567653</v>
          </cell>
          <cell r="E26">
            <v>67.2</v>
          </cell>
          <cell r="G26">
            <v>1.02</v>
          </cell>
          <cell r="H26">
            <v>249837.38181818172</v>
          </cell>
          <cell r="I26">
            <v>2817490.3818181818</v>
          </cell>
        </row>
        <row r="27">
          <cell r="B27" t="str">
            <v xml:space="preserve">   - Máy bơm nưóc diezel 45CV</v>
          </cell>
          <cell r="C27" t="str">
            <v>Ca</v>
          </cell>
          <cell r="D27">
            <v>630808</v>
          </cell>
          <cell r="E27">
            <v>20</v>
          </cell>
          <cell r="G27">
            <v>1.02</v>
          </cell>
          <cell r="H27">
            <v>74356.363636363603</v>
          </cell>
          <cell r="I27">
            <v>705164.36363636365</v>
          </cell>
        </row>
        <row r="28">
          <cell r="B28" t="str">
            <v xml:space="preserve">   - Máy bơm nưóc diezel 5CV</v>
          </cell>
          <cell r="C28" t="str">
            <v>Ca</v>
          </cell>
          <cell r="D28">
            <v>260658</v>
          </cell>
          <cell r="E28">
            <v>2.7</v>
          </cell>
          <cell r="G28">
            <v>1.02</v>
          </cell>
          <cell r="H28">
            <v>10038.109090909087</v>
          </cell>
          <cell r="I28">
            <v>270696.10909090907</v>
          </cell>
        </row>
        <row r="29">
          <cell r="B29" t="str">
            <v xml:space="preserve">   - Máy bơm nước 2KW</v>
          </cell>
          <cell r="C29" t="str">
            <v>Ca</v>
          </cell>
          <cell r="D29">
            <v>185948</v>
          </cell>
          <cell r="H29">
            <v>0</v>
          </cell>
          <cell r="I29">
            <v>185948</v>
          </cell>
        </row>
        <row r="30">
          <cell r="B30" t="str">
            <v xml:space="preserve">   - Máy bơm nước 200m3/h    </v>
          </cell>
          <cell r="C30" t="str">
            <v>Ca</v>
          </cell>
          <cell r="D30">
            <v>182013</v>
          </cell>
          <cell r="G30">
            <v>1.02</v>
          </cell>
          <cell r="H30">
            <v>0</v>
          </cell>
          <cell r="I30">
            <v>182013</v>
          </cell>
        </row>
        <row r="31">
          <cell r="B31" t="str">
            <v xml:space="preserve">   - Máy bơm nước 30 CV</v>
          </cell>
          <cell r="C31" t="str">
            <v>Ca</v>
          </cell>
          <cell r="D31">
            <v>549529</v>
          </cell>
          <cell r="E31">
            <v>15</v>
          </cell>
          <cell r="G31">
            <v>1.02</v>
          </cell>
          <cell r="H31">
            <v>55767.272727272706</v>
          </cell>
          <cell r="I31">
            <v>605296.27272727271</v>
          </cell>
        </row>
        <row r="32">
          <cell r="B32" t="str">
            <v xml:space="preserve">   - Máy bơm xói 4 MC   </v>
          </cell>
          <cell r="C32" t="str">
            <v>Ca</v>
          </cell>
          <cell r="D32">
            <v>638691</v>
          </cell>
          <cell r="H32">
            <v>0</v>
          </cell>
          <cell r="I32">
            <v>638691</v>
          </cell>
        </row>
        <row r="33">
          <cell r="B33" t="str">
            <v xml:space="preserve">   - Máy cán tôn</v>
          </cell>
          <cell r="C33" t="str">
            <v>Ca</v>
          </cell>
          <cell r="D33">
            <v>238079</v>
          </cell>
          <cell r="H33">
            <v>0</v>
          </cell>
          <cell r="I33">
            <v>238079</v>
          </cell>
        </row>
        <row r="34">
          <cell r="B34" t="str">
            <v xml:space="preserve">   - Máy cắt</v>
          </cell>
          <cell r="C34" t="str">
            <v>Ca</v>
          </cell>
          <cell r="D34">
            <v>205870</v>
          </cell>
          <cell r="H34">
            <v>0</v>
          </cell>
          <cell r="I34">
            <v>205870</v>
          </cell>
        </row>
        <row r="35">
          <cell r="B35" t="str">
            <v xml:space="preserve">   - Máy cắt 5.0KW</v>
          </cell>
          <cell r="C35" t="str">
            <v>Ca</v>
          </cell>
          <cell r="D35">
            <v>205870</v>
          </cell>
          <cell r="H35">
            <v>0</v>
          </cell>
          <cell r="I35">
            <v>205870</v>
          </cell>
        </row>
        <row r="36">
          <cell r="B36" t="str">
            <v xml:space="preserve">   - Máy cắt gạch 1.7KW</v>
          </cell>
          <cell r="C36" t="str">
            <v>Ca</v>
          </cell>
          <cell r="D36">
            <v>202250</v>
          </cell>
          <cell r="H36">
            <v>0</v>
          </cell>
          <cell r="I36">
            <v>202250</v>
          </cell>
        </row>
        <row r="37">
          <cell r="B37" t="str">
            <v xml:space="preserve">   - Máy cắt sắt</v>
          </cell>
          <cell r="C37" t="str">
            <v>Ca</v>
          </cell>
          <cell r="D37">
            <v>205870</v>
          </cell>
          <cell r="H37">
            <v>0</v>
          </cell>
          <cell r="I37">
            <v>205870</v>
          </cell>
        </row>
        <row r="38">
          <cell r="B38" t="str">
            <v xml:space="preserve">   - Máy cắt thép</v>
          </cell>
          <cell r="C38" t="str">
            <v>Ca</v>
          </cell>
          <cell r="D38">
            <v>205870</v>
          </cell>
          <cell r="H38">
            <v>0</v>
          </cell>
          <cell r="I38">
            <v>205870</v>
          </cell>
        </row>
        <row r="39">
          <cell r="B39" t="str">
            <v xml:space="preserve">   - Máy cắt tôn 15KW</v>
          </cell>
          <cell r="C39" t="str">
            <v>Ca</v>
          </cell>
          <cell r="D39">
            <v>357175</v>
          </cell>
          <cell r="H39">
            <v>0</v>
          </cell>
          <cell r="I39">
            <v>357175</v>
          </cell>
        </row>
        <row r="40">
          <cell r="B40" t="str">
            <v xml:space="preserve">   - Máy lốc tôn 5KW</v>
          </cell>
          <cell r="C40" t="str">
            <v>Ca</v>
          </cell>
          <cell r="D40">
            <v>238079</v>
          </cell>
          <cell r="H40">
            <v>0</v>
          </cell>
          <cell r="I40">
            <v>238079</v>
          </cell>
        </row>
        <row r="41">
          <cell r="B41" t="str">
            <v xml:space="preserve">   - Máy cắt uốn</v>
          </cell>
          <cell r="C41" t="str">
            <v>Ca</v>
          </cell>
          <cell r="D41">
            <v>205870</v>
          </cell>
          <cell r="H41">
            <v>0</v>
          </cell>
          <cell r="I41">
            <v>205870</v>
          </cell>
        </row>
        <row r="42">
          <cell r="B42" t="str">
            <v xml:space="preserve">   - Máy cắt uốn 5KW</v>
          </cell>
          <cell r="C42" t="str">
            <v>Ca</v>
          </cell>
          <cell r="D42">
            <v>205870</v>
          </cell>
          <cell r="H42">
            <v>0</v>
          </cell>
          <cell r="I42">
            <v>205870</v>
          </cell>
        </row>
        <row r="43">
          <cell r="B43" t="str">
            <v xml:space="preserve">   - Máy hàn 14KW</v>
          </cell>
          <cell r="C43" t="str">
            <v>Ca</v>
          </cell>
          <cell r="D43">
            <v>268304</v>
          </cell>
          <cell r="H43">
            <v>0</v>
          </cell>
          <cell r="I43">
            <v>268304</v>
          </cell>
        </row>
        <row r="44">
          <cell r="B44" t="str">
            <v xml:space="preserve">   - Máy hàn 23KW</v>
          </cell>
          <cell r="C44" t="str">
            <v>Ca</v>
          </cell>
          <cell r="D44">
            <v>313942</v>
          </cell>
          <cell r="H44">
            <v>0</v>
          </cell>
          <cell r="I44">
            <v>313942</v>
          </cell>
        </row>
        <row r="45">
          <cell r="B45" t="str">
            <v xml:space="preserve">   - Máy khoan 2.5KW</v>
          </cell>
          <cell r="C45" t="str">
            <v>Ca</v>
          </cell>
          <cell r="D45">
            <v>225306</v>
          </cell>
          <cell r="H45">
            <v>0</v>
          </cell>
          <cell r="I45">
            <v>225306</v>
          </cell>
        </row>
        <row r="46">
          <cell r="B46" t="str">
            <v xml:space="preserve">   - Máy khoan 4.5KW</v>
          </cell>
          <cell r="C46" t="str">
            <v>Ca</v>
          </cell>
          <cell r="D46">
            <v>246789</v>
          </cell>
          <cell r="H46">
            <v>0</v>
          </cell>
          <cell r="I46">
            <v>246789</v>
          </cell>
        </row>
        <row r="47">
          <cell r="B47" t="str">
            <v xml:space="preserve">   - Máy khoan cầm tay 0.5KW</v>
          </cell>
          <cell r="C47" t="str">
            <v>Ca</v>
          </cell>
          <cell r="D47">
            <v>189062</v>
          </cell>
          <cell r="H47">
            <v>0</v>
          </cell>
          <cell r="I47">
            <v>189062</v>
          </cell>
        </row>
        <row r="48">
          <cell r="B48" t="str">
            <v xml:space="preserve">   - Máy khoan xoay 54CV</v>
          </cell>
          <cell r="C48" t="str">
            <v>Ca</v>
          </cell>
          <cell r="D48">
            <v>2057968</v>
          </cell>
          <cell r="E48">
            <v>19.440000000000001</v>
          </cell>
          <cell r="G48">
            <v>1.02</v>
          </cell>
          <cell r="H48">
            <v>72274.385454545423</v>
          </cell>
          <cell r="I48">
            <v>2130242.3854545453</v>
          </cell>
        </row>
        <row r="49">
          <cell r="B49" t="str">
            <v xml:space="preserve">   - Máy lu 10T.</v>
          </cell>
          <cell r="C49" t="str">
            <v>Ca</v>
          </cell>
          <cell r="D49">
            <v>966761</v>
          </cell>
          <cell r="E49">
            <v>26.4</v>
          </cell>
          <cell r="G49">
            <v>1.02</v>
          </cell>
          <cell r="H49">
            <v>98150.399999999951</v>
          </cell>
          <cell r="I49">
            <v>1064911.3999999999</v>
          </cell>
        </row>
        <row r="50">
          <cell r="B50" t="str">
            <v xml:space="preserve">   - Máy mài 1KW</v>
          </cell>
          <cell r="C50" t="str">
            <v>Ca</v>
          </cell>
          <cell r="D50">
            <v>179900</v>
          </cell>
          <cell r="H50">
            <v>0</v>
          </cell>
          <cell r="I50">
            <v>179900</v>
          </cell>
        </row>
        <row r="51">
          <cell r="B51" t="str">
            <v xml:space="preserve">   - Máy mài 2.7KW</v>
          </cell>
          <cell r="C51" t="str">
            <v>Ca</v>
          </cell>
          <cell r="D51">
            <v>190892</v>
          </cell>
          <cell r="H51">
            <v>0</v>
          </cell>
          <cell r="I51">
            <v>190892</v>
          </cell>
        </row>
        <row r="52">
          <cell r="B52" t="str">
            <v xml:space="preserve">   - Máy ép khí 1200m3/h      </v>
          </cell>
          <cell r="C52" t="str">
            <v>Ca</v>
          </cell>
          <cell r="D52">
            <v>2198968</v>
          </cell>
          <cell r="E52">
            <v>75</v>
          </cell>
          <cell r="G52">
            <v>1.02</v>
          </cell>
          <cell r="H52">
            <v>278836.36363636353</v>
          </cell>
          <cell r="I52">
            <v>2477804.3636363633</v>
          </cell>
        </row>
        <row r="53">
          <cell r="B53" t="str">
            <v xml:space="preserve">   - Máy nén khí 240m3/h</v>
          </cell>
          <cell r="C53" t="str">
            <v>Ca</v>
          </cell>
          <cell r="D53">
            <v>750166</v>
          </cell>
          <cell r="E53">
            <v>27.54</v>
          </cell>
          <cell r="G53">
            <v>1.02</v>
          </cell>
          <cell r="H53">
            <v>102388.71272727268</v>
          </cell>
          <cell r="I53">
            <v>852554.71272727265</v>
          </cell>
        </row>
        <row r="54">
          <cell r="B54" t="str">
            <v xml:space="preserve">   - Máy nén khí 360m3/h</v>
          </cell>
          <cell r="C54" t="str">
            <v>Ca</v>
          </cell>
          <cell r="D54">
            <v>912645</v>
          </cell>
          <cell r="E54">
            <v>34.56</v>
          </cell>
          <cell r="G54">
            <v>1.02</v>
          </cell>
          <cell r="H54">
            <v>128487.79636363631</v>
          </cell>
          <cell r="I54">
            <v>1041132.7963636363</v>
          </cell>
        </row>
        <row r="55">
          <cell r="B55" t="str">
            <v xml:space="preserve">   - Máy phát điện 50KW</v>
          </cell>
          <cell r="C55" t="str">
            <v>Ca</v>
          </cell>
          <cell r="D55">
            <v>848449</v>
          </cell>
          <cell r="E55">
            <v>36</v>
          </cell>
          <cell r="G55">
            <v>1.02</v>
          </cell>
          <cell r="H55">
            <v>133841.45454545447</v>
          </cell>
          <cell r="I55">
            <v>982290.45454545447</v>
          </cell>
        </row>
        <row r="56">
          <cell r="B56" t="str">
            <v xml:space="preserve">   - Máy rải 50-60m3/h</v>
          </cell>
          <cell r="C56" t="str">
            <v>Ca</v>
          </cell>
          <cell r="D56">
            <v>3595484</v>
          </cell>
          <cell r="E56">
            <v>30.2</v>
          </cell>
          <cell r="G56">
            <v>1.02</v>
          </cell>
          <cell r="H56">
            <v>112278.10909090904</v>
          </cell>
          <cell r="I56">
            <v>3707762.1090909089</v>
          </cell>
        </row>
        <row r="57">
          <cell r="B57" t="str">
            <v xml:space="preserve">   - Máy san 108CV</v>
          </cell>
          <cell r="C57" t="str">
            <v>Ca</v>
          </cell>
          <cell r="D57">
            <v>1920139</v>
          </cell>
          <cell r="E57">
            <v>38.880000000000003</v>
          </cell>
          <cell r="G57">
            <v>1.02</v>
          </cell>
          <cell r="H57">
            <v>144548.77090909085</v>
          </cell>
          <cell r="I57">
            <v>2064687.7709090908</v>
          </cell>
        </row>
        <row r="58">
          <cell r="B58" t="str">
            <v xml:space="preserve">   - Máy trộn 500l</v>
          </cell>
          <cell r="C58" t="str">
            <v>Ca</v>
          </cell>
          <cell r="D58">
            <v>383776</v>
          </cell>
          <cell r="H58">
            <v>0</v>
          </cell>
          <cell r="I58">
            <v>383776</v>
          </cell>
        </row>
        <row r="59">
          <cell r="B59" t="str">
            <v xml:space="preserve">   - Máy trộn 250 l</v>
          </cell>
          <cell r="C59" t="str">
            <v>Ca</v>
          </cell>
          <cell r="D59">
            <v>266528</v>
          </cell>
          <cell r="H59">
            <v>0</v>
          </cell>
          <cell r="I59">
            <v>266528</v>
          </cell>
        </row>
        <row r="60">
          <cell r="B60" t="str">
            <v xml:space="preserve">   - Máy trộn 80 l</v>
          </cell>
          <cell r="C60" t="str">
            <v>Ca</v>
          </cell>
          <cell r="D60">
            <v>210584</v>
          </cell>
          <cell r="H60">
            <v>0</v>
          </cell>
          <cell r="I60">
            <v>210584</v>
          </cell>
        </row>
        <row r="61">
          <cell r="B61" t="str">
            <v xml:space="preserve">   - Máy vận thăng 0.8T</v>
          </cell>
          <cell r="C61" t="str">
            <v>Ca</v>
          </cell>
          <cell r="D61">
            <v>356719</v>
          </cell>
          <cell r="H61">
            <v>0</v>
          </cell>
          <cell r="I61">
            <v>356719</v>
          </cell>
        </row>
        <row r="62">
          <cell r="B62" t="str">
            <v xml:space="preserve">   - Máy đào 0.4m3</v>
          </cell>
          <cell r="C62" t="str">
            <v>Ca</v>
          </cell>
          <cell r="D62">
            <v>1480505</v>
          </cell>
          <cell r="E62">
            <v>42.66</v>
          </cell>
          <cell r="G62">
            <v>1.02</v>
          </cell>
          <cell r="H62">
            <v>158602.12363636354</v>
          </cell>
          <cell r="I62">
            <v>1639107.1236363635</v>
          </cell>
        </row>
        <row r="63">
          <cell r="B63" t="str">
            <v xml:space="preserve">   - Máy đào &lt;=0.65m3</v>
          </cell>
          <cell r="C63" t="str">
            <v>Ca</v>
          </cell>
          <cell r="D63">
            <v>2132507</v>
          </cell>
          <cell r="E63">
            <v>59.4</v>
          </cell>
          <cell r="G63">
            <v>1.02</v>
          </cell>
          <cell r="H63">
            <v>220838.39999999991</v>
          </cell>
          <cell r="I63">
            <v>2353345.4</v>
          </cell>
        </row>
        <row r="64">
          <cell r="B64" t="str">
            <v xml:space="preserve">   - Máy đào 0.8m3</v>
          </cell>
          <cell r="C64" t="str">
            <v>Ca</v>
          </cell>
          <cell r="D64">
            <v>2305748</v>
          </cell>
          <cell r="E64">
            <v>64.8</v>
          </cell>
          <cell r="G64">
            <v>1.02</v>
          </cell>
          <cell r="H64">
            <v>240914.61818181808</v>
          </cell>
          <cell r="I64">
            <v>2546662.6181818182</v>
          </cell>
        </row>
        <row r="65">
          <cell r="B65" t="str">
            <v xml:space="preserve">   - Máy đào &lt;=0.8m3</v>
          </cell>
          <cell r="C65" t="str">
            <v>Ca</v>
          </cell>
          <cell r="D65">
            <v>2305748</v>
          </cell>
          <cell r="E65">
            <v>64.8</v>
          </cell>
          <cell r="G65">
            <v>1.02</v>
          </cell>
          <cell r="H65">
            <v>240914.61818181808</v>
          </cell>
          <cell r="I65">
            <v>2546662.6181818182</v>
          </cell>
        </row>
        <row r="66">
          <cell r="B66" t="str">
            <v xml:space="preserve">   - Máy đào &lt;=1.25m3</v>
          </cell>
          <cell r="C66" t="str">
            <v>Ca</v>
          </cell>
          <cell r="D66">
            <v>3224907</v>
          </cell>
          <cell r="E66">
            <v>82.62</v>
          </cell>
          <cell r="G66">
            <v>1.02</v>
          </cell>
          <cell r="H66">
            <v>307166.13818181807</v>
          </cell>
          <cell r="I66">
            <v>3532073.1381818182</v>
          </cell>
        </row>
        <row r="67">
          <cell r="B67" t="str">
            <v xml:space="preserve">   - Máy đóng cọc 1.2T</v>
          </cell>
          <cell r="C67" t="str">
            <v>Ca</v>
          </cell>
          <cell r="D67">
            <v>1383982</v>
          </cell>
          <cell r="E67">
            <v>24</v>
          </cell>
          <cell r="G67">
            <v>1.02</v>
          </cell>
          <cell r="H67">
            <v>89227.636363636324</v>
          </cell>
          <cell r="I67">
            <v>1473209.6363636362</v>
          </cell>
        </row>
        <row r="68">
          <cell r="B68" t="str">
            <v xml:space="preserve">   - Máy đóng cọc 2.5T</v>
          </cell>
          <cell r="C68" t="str">
            <v>Ca</v>
          </cell>
          <cell r="D68">
            <v>2189603</v>
          </cell>
          <cell r="E68">
            <v>36</v>
          </cell>
          <cell r="G68">
            <v>1.02</v>
          </cell>
          <cell r="H68">
            <v>133841.45454545447</v>
          </cell>
          <cell r="I68">
            <v>2323444.4545454546</v>
          </cell>
        </row>
        <row r="69">
          <cell r="B69" t="str">
            <v xml:space="preserve">   - Máy đóng cọc 2.5T (chờ)</v>
          </cell>
          <cell r="C69" t="str">
            <v>Ca</v>
          </cell>
          <cell r="D69">
            <v>880488.10000000009</v>
          </cell>
          <cell r="G69">
            <v>1.02</v>
          </cell>
          <cell r="H69">
            <v>0</v>
          </cell>
          <cell r="I69">
            <v>880488.10000000009</v>
          </cell>
        </row>
        <row r="70">
          <cell r="B70" t="str">
            <v xml:space="preserve">   - Máy đóng cọc 1.8T</v>
          </cell>
          <cell r="C70" t="str">
            <v>Ca</v>
          </cell>
          <cell r="D70">
            <v>1748567</v>
          </cell>
          <cell r="E70">
            <v>30</v>
          </cell>
          <cell r="G70">
            <v>1.02</v>
          </cell>
          <cell r="H70">
            <v>111534.54545454541</v>
          </cell>
          <cell r="I70">
            <v>1860101.5454545454</v>
          </cell>
        </row>
        <row r="71">
          <cell r="B71" t="str">
            <v xml:space="preserve">   - Máy đóng cọc tự hành 1.8T</v>
          </cell>
          <cell r="C71" t="str">
            <v>Ca</v>
          </cell>
          <cell r="D71">
            <v>2586629</v>
          </cell>
          <cell r="E71">
            <v>59</v>
          </cell>
          <cell r="G71">
            <v>1.02</v>
          </cell>
          <cell r="H71">
            <v>219351.27272727262</v>
          </cell>
          <cell r="I71">
            <v>2805980.2727272725</v>
          </cell>
        </row>
        <row r="72">
          <cell r="B72" t="str">
            <v xml:space="preserve">   - Máy lu 8.5T</v>
          </cell>
          <cell r="C72" t="str">
            <v>Ca</v>
          </cell>
          <cell r="D72">
            <v>809583</v>
          </cell>
          <cell r="E72">
            <v>24</v>
          </cell>
          <cell r="G72">
            <v>1.02</v>
          </cell>
          <cell r="H72">
            <v>89227.636363636324</v>
          </cell>
          <cell r="I72">
            <v>898810.63636363635</v>
          </cell>
        </row>
        <row r="73">
          <cell r="B73" t="str">
            <v xml:space="preserve">   - Máy tưới nhựa</v>
          </cell>
          <cell r="C73" t="str">
            <v>Ca</v>
          </cell>
          <cell r="D73">
            <v>2830278</v>
          </cell>
          <cell r="E73">
            <v>57</v>
          </cell>
          <cell r="G73">
            <v>1.02</v>
          </cell>
          <cell r="H73">
            <v>211915.63636363627</v>
          </cell>
          <cell r="I73">
            <v>3042193.6363636362</v>
          </cell>
        </row>
        <row r="74">
          <cell r="B74" t="str">
            <v xml:space="preserve">   - Thiết bị nấu nhựa</v>
          </cell>
          <cell r="C74" t="str">
            <v>Ca</v>
          </cell>
          <cell r="D74">
            <v>291280</v>
          </cell>
          <cell r="E74">
            <v>0</v>
          </cell>
          <cell r="H74">
            <v>0</v>
          </cell>
          <cell r="I74">
            <v>291280</v>
          </cell>
        </row>
        <row r="75">
          <cell r="B75" t="str">
            <v xml:space="preserve">   - Ô tô tưới nhựa 7T</v>
          </cell>
          <cell r="C75" t="str">
            <v>Ca</v>
          </cell>
          <cell r="D75">
            <v>2830278</v>
          </cell>
          <cell r="E75">
            <v>57</v>
          </cell>
          <cell r="G75">
            <v>1.02</v>
          </cell>
          <cell r="H75">
            <v>211915.63636363627</v>
          </cell>
          <cell r="I75">
            <v>3042193.6363636362</v>
          </cell>
        </row>
        <row r="76">
          <cell r="B76" t="str">
            <v xml:space="preserve">   - Cần cẩu bánh hơi 6T</v>
          </cell>
          <cell r="C76" t="str">
            <v>Ca</v>
          </cell>
          <cell r="D76">
            <v>719491</v>
          </cell>
          <cell r="E76">
            <v>12</v>
          </cell>
          <cell r="G76">
            <v>1.02</v>
          </cell>
          <cell r="H76">
            <v>44613.818181818162</v>
          </cell>
          <cell r="I76">
            <v>764104.81818181812</v>
          </cell>
        </row>
        <row r="77">
          <cell r="B77" t="str">
            <v xml:space="preserve">   - Máy rải 130-140CV</v>
          </cell>
          <cell r="C77" t="str">
            <v>Ca</v>
          </cell>
          <cell r="D77">
            <v>5242923</v>
          </cell>
          <cell r="E77">
            <v>63</v>
          </cell>
          <cell r="G77">
            <v>1.02</v>
          </cell>
          <cell r="H77">
            <v>234222.54545454535</v>
          </cell>
          <cell r="I77">
            <v>5477145.5454545449</v>
          </cell>
        </row>
        <row r="78">
          <cell r="B78" t="str">
            <v xml:space="preserve">   - Lu bánh thép 10T</v>
          </cell>
          <cell r="C78" t="str">
            <v>Ca</v>
          </cell>
          <cell r="D78">
            <v>966761</v>
          </cell>
          <cell r="E78">
            <v>26.4</v>
          </cell>
          <cell r="G78">
            <v>1.02</v>
          </cell>
          <cell r="H78">
            <v>98150.399999999951</v>
          </cell>
          <cell r="I78">
            <v>1064911.3999999999</v>
          </cell>
        </row>
        <row r="79">
          <cell r="B79" t="str">
            <v xml:space="preserve">   - Máy đầm 9T</v>
          </cell>
          <cell r="C79" t="str">
            <v>Ca</v>
          </cell>
          <cell r="D79">
            <v>1260726</v>
          </cell>
          <cell r="E79">
            <v>34</v>
          </cell>
          <cell r="G79">
            <v>1.02</v>
          </cell>
          <cell r="H79">
            <v>126405.81818181812</v>
          </cell>
          <cell r="I79">
            <v>1387131.8181818181</v>
          </cell>
        </row>
        <row r="80">
          <cell r="B80" t="str">
            <v xml:space="preserve">   - Máy đầm bàn 1KW</v>
          </cell>
          <cell r="C80" t="str">
            <v>Ca</v>
          </cell>
          <cell r="D80">
            <v>200148</v>
          </cell>
          <cell r="H80">
            <v>0</v>
          </cell>
          <cell r="I80">
            <v>200148</v>
          </cell>
        </row>
        <row r="81">
          <cell r="B81" t="str">
            <v xml:space="preserve">   - Máy đầm bánh hơi tự hành 18T</v>
          </cell>
          <cell r="C81" t="str">
            <v>Ca</v>
          </cell>
          <cell r="D81">
            <v>1544634</v>
          </cell>
          <cell r="E81">
            <v>43</v>
          </cell>
          <cell r="G81">
            <v>1.02</v>
          </cell>
          <cell r="H81">
            <v>159866.18181818174</v>
          </cell>
          <cell r="I81">
            <v>1704500.1818181816</v>
          </cell>
        </row>
        <row r="82">
          <cell r="B82" t="str">
            <v xml:space="preserve">   - Máy đầm cóc</v>
          </cell>
          <cell r="C82" t="str">
            <v>Ca</v>
          </cell>
          <cell r="D82">
            <v>284695</v>
          </cell>
          <cell r="F82">
            <v>3.06</v>
          </cell>
          <cell r="G82">
            <v>1.01</v>
          </cell>
          <cell r="H82">
            <v>7427.4545454545369</v>
          </cell>
          <cell r="I82">
            <v>292122.45454545453</v>
          </cell>
        </row>
        <row r="83">
          <cell r="B83" t="str">
            <v xml:space="preserve">   - Máy đầm dùi 1.5KW</v>
          </cell>
          <cell r="C83" t="str">
            <v>Ca</v>
          </cell>
          <cell r="D83">
            <v>203627</v>
          </cell>
          <cell r="H83">
            <v>0</v>
          </cell>
          <cell r="I83">
            <v>203627</v>
          </cell>
        </row>
        <row r="84">
          <cell r="B84" t="str">
            <v xml:space="preserve">   - Máy đột lỗ 2.8KW</v>
          </cell>
          <cell r="C84" t="str">
            <v>Ca</v>
          </cell>
          <cell r="D84">
            <v>220140</v>
          </cell>
          <cell r="H84">
            <v>0</v>
          </cell>
          <cell r="I84">
            <v>220140</v>
          </cell>
        </row>
        <row r="85">
          <cell r="B85" t="str">
            <v xml:space="preserve">   - Máy trộn dung dịch 750l</v>
          </cell>
          <cell r="C85" t="str">
            <v>Ca</v>
          </cell>
          <cell r="D85">
            <v>219502</v>
          </cell>
          <cell r="H85">
            <v>0</v>
          </cell>
          <cell r="I85">
            <v>219502</v>
          </cell>
        </row>
        <row r="86">
          <cell r="B86" t="str">
            <v xml:space="preserve">   - Máy ủi 75CV</v>
          </cell>
          <cell r="C86" t="str">
            <v>Ca</v>
          </cell>
          <cell r="D86">
            <v>1194649</v>
          </cell>
          <cell r="E86">
            <v>38.25</v>
          </cell>
          <cell r="G86">
            <v>1.02</v>
          </cell>
          <cell r="H86">
            <v>142206.54545454538</v>
          </cell>
          <cell r="I86">
            <v>1336855.5454545454</v>
          </cell>
        </row>
        <row r="87">
          <cell r="B87" t="str">
            <v xml:space="preserve">   - Máy ủi 110CV</v>
          </cell>
          <cell r="C87" t="str">
            <v>Ca</v>
          </cell>
          <cell r="D87">
            <v>1768815</v>
          </cell>
          <cell r="E87">
            <v>46.2</v>
          </cell>
          <cell r="G87">
            <v>1.02</v>
          </cell>
          <cell r="H87">
            <v>171763.19999999992</v>
          </cell>
          <cell r="I87">
            <v>1940578.2</v>
          </cell>
        </row>
        <row r="88">
          <cell r="B88" t="str">
            <v xml:space="preserve">   - Máy ủi 140CV</v>
          </cell>
          <cell r="C88" t="str">
            <v>Ca</v>
          </cell>
          <cell r="D88">
            <v>2401831</v>
          </cell>
          <cell r="E88">
            <v>58.8</v>
          </cell>
          <cell r="G88">
            <v>1.02</v>
          </cell>
          <cell r="H88">
            <v>218607.70909090899</v>
          </cell>
          <cell r="I88">
            <v>2620438.709090909</v>
          </cell>
        </row>
        <row r="89">
          <cell r="B89" t="str">
            <v xml:space="preserve">   - Máy ủi 180CV</v>
          </cell>
          <cell r="C89" t="str">
            <v>Ca</v>
          </cell>
          <cell r="D89">
            <v>2895042</v>
          </cell>
          <cell r="E89">
            <v>75.599999999999994</v>
          </cell>
          <cell r="G89">
            <v>1.02</v>
          </cell>
          <cell r="H89">
            <v>281067.05454545439</v>
          </cell>
          <cell r="I89">
            <v>3176109.0545454542</v>
          </cell>
        </row>
        <row r="90">
          <cell r="B90" t="str">
            <v xml:space="preserve">   - Máy ủi &lt;=110CV</v>
          </cell>
          <cell r="C90" t="str">
            <v>Ca</v>
          </cell>
          <cell r="D90">
            <v>1768815</v>
          </cell>
          <cell r="E90">
            <v>46.2</v>
          </cell>
          <cell r="G90">
            <v>1.02</v>
          </cell>
          <cell r="H90">
            <v>171763.19999999992</v>
          </cell>
          <cell r="I90">
            <v>1940578.2</v>
          </cell>
        </row>
        <row r="91">
          <cell r="B91" t="str">
            <v xml:space="preserve">   - Phao bè trải vải</v>
          </cell>
          <cell r="C91" t="str">
            <v>Ca</v>
          </cell>
          <cell r="D91">
            <v>119124</v>
          </cell>
          <cell r="H91">
            <v>0</v>
          </cell>
          <cell r="I91">
            <v>119124</v>
          </cell>
        </row>
        <row r="92">
          <cell r="B92" t="str">
            <v xml:space="preserve">   - Phao thép</v>
          </cell>
          <cell r="C92" t="str">
            <v>Ca</v>
          </cell>
          <cell r="D92">
            <v>119124</v>
          </cell>
          <cell r="H92">
            <v>0</v>
          </cell>
          <cell r="I92">
            <v>119124</v>
          </cell>
        </row>
        <row r="93">
          <cell r="B93" t="str">
            <v xml:space="preserve">   - Sà lan 200T</v>
          </cell>
          <cell r="C93" t="str">
            <v>Ca</v>
          </cell>
          <cell r="D93">
            <v>919234</v>
          </cell>
          <cell r="H93">
            <v>0</v>
          </cell>
          <cell r="I93">
            <v>919234</v>
          </cell>
        </row>
        <row r="94">
          <cell r="B94" t="str">
            <v xml:space="preserve">   - Sà lan 250T</v>
          </cell>
          <cell r="C94" t="str">
            <v>Ca</v>
          </cell>
          <cell r="D94">
            <v>1061924</v>
          </cell>
          <cell r="E94">
            <v>0</v>
          </cell>
          <cell r="H94">
            <v>0</v>
          </cell>
          <cell r="I94">
            <v>1061924</v>
          </cell>
        </row>
        <row r="95">
          <cell r="B95" t="str">
            <v xml:space="preserve">   - Sà lan 250T (chờ)</v>
          </cell>
          <cell r="C95" t="str">
            <v>Ca</v>
          </cell>
          <cell r="D95">
            <v>109358</v>
          </cell>
          <cell r="E95">
            <v>0</v>
          </cell>
          <cell r="H95">
            <v>0</v>
          </cell>
          <cell r="I95">
            <v>109358</v>
          </cell>
        </row>
        <row r="96">
          <cell r="B96" t="str">
            <v xml:space="preserve">   - Sà lan 400T</v>
          </cell>
          <cell r="C96" t="str">
            <v>Ca</v>
          </cell>
          <cell r="D96">
            <v>1288253</v>
          </cell>
          <cell r="H96">
            <v>0</v>
          </cell>
          <cell r="I96">
            <v>1288253</v>
          </cell>
        </row>
        <row r="97">
          <cell r="B97" t="str">
            <v xml:space="preserve">   - Sà lan 40T                         </v>
          </cell>
          <cell r="C97" t="str">
            <v>Ca</v>
          </cell>
          <cell r="D97">
            <v>662005</v>
          </cell>
          <cell r="H97">
            <v>0</v>
          </cell>
          <cell r="I97">
            <v>662005</v>
          </cell>
        </row>
        <row r="98">
          <cell r="B98" t="str">
            <v xml:space="preserve">   - Thiết bị lặn</v>
          </cell>
          <cell r="C98" t="str">
            <v>Ca</v>
          </cell>
          <cell r="D98">
            <v>873437</v>
          </cell>
          <cell r="H98">
            <v>0</v>
          </cell>
          <cell r="I98">
            <v>873437</v>
          </cell>
        </row>
        <row r="99">
          <cell r="B99" t="str">
            <v xml:space="preserve">   - Thiết bị trải vải</v>
          </cell>
          <cell r="C99" t="str">
            <v>Ca</v>
          </cell>
          <cell r="D99">
            <v>44150</v>
          </cell>
          <cell r="H99">
            <v>0</v>
          </cell>
          <cell r="I99">
            <v>44150</v>
          </cell>
        </row>
        <row r="100">
          <cell r="B100" t="str">
            <v xml:space="preserve">   - Tàu hút 300CV</v>
          </cell>
          <cell r="C100" t="str">
            <v>Ca</v>
          </cell>
          <cell r="D100">
            <v>7311445</v>
          </cell>
          <cell r="E100">
            <v>304.5</v>
          </cell>
          <cell r="G100">
            <v>1.02</v>
          </cell>
          <cell r="H100">
            <v>1132075.6363636358</v>
          </cell>
          <cell r="I100">
            <v>8443520.6363636367</v>
          </cell>
        </row>
        <row r="101">
          <cell r="B101" t="str">
            <v xml:space="preserve">   - Tàu hút 585CV</v>
          </cell>
          <cell r="C101" t="str">
            <v>Ca</v>
          </cell>
          <cell r="D101">
            <v>16523673</v>
          </cell>
          <cell r="E101">
            <v>573.29999999999995</v>
          </cell>
          <cell r="G101">
            <v>1.02</v>
          </cell>
          <cell r="H101">
            <v>2131425.1636363626</v>
          </cell>
          <cell r="I101">
            <v>18655098.163636364</v>
          </cell>
        </row>
        <row r="102">
          <cell r="B102" t="str">
            <v xml:space="preserve">   - Tàu hút 600CV</v>
          </cell>
          <cell r="C102" t="str">
            <v>Ca</v>
          </cell>
          <cell r="D102">
            <v>16523673</v>
          </cell>
          <cell r="E102">
            <v>573.29999999999995</v>
          </cell>
          <cell r="G102">
            <v>1.02</v>
          </cell>
          <cell r="H102">
            <v>2131425.1636363626</v>
          </cell>
          <cell r="I102">
            <v>18655098.163636364</v>
          </cell>
        </row>
        <row r="103">
          <cell r="B103" t="str">
            <v xml:space="preserve">   - Tàu kéo 150CV</v>
          </cell>
          <cell r="C103" t="str">
            <v>Ca</v>
          </cell>
          <cell r="D103">
            <v>3431831</v>
          </cell>
          <cell r="E103">
            <v>94.5</v>
          </cell>
          <cell r="G103">
            <v>1.02</v>
          </cell>
          <cell r="H103">
            <v>351333.818181818</v>
          </cell>
          <cell r="I103">
            <v>3783164.8181818179</v>
          </cell>
        </row>
        <row r="104">
          <cell r="B104" t="str">
            <v xml:space="preserve">   - Tàu kéo 150CV (chờ)</v>
          </cell>
          <cell r="C104" t="str">
            <v>Ca</v>
          </cell>
          <cell r="D104">
            <v>1111821</v>
          </cell>
          <cell r="I104">
            <v>1111821</v>
          </cell>
        </row>
        <row r="105">
          <cell r="B105" t="str">
            <v xml:space="preserve">   - Tàu kéo 150CV (phục vụ thi công)</v>
          </cell>
          <cell r="C105" t="str">
            <v>Ca</v>
          </cell>
          <cell r="D105">
            <v>1111821</v>
          </cell>
          <cell r="I105">
            <v>1111821</v>
          </cell>
        </row>
        <row r="106">
          <cell r="B106" t="str">
            <v xml:space="preserve">   - Tàu kéo 360CV</v>
          </cell>
          <cell r="C106" t="str">
            <v>Ca</v>
          </cell>
          <cell r="D106">
            <v>5164751</v>
          </cell>
          <cell r="E106">
            <v>201.6</v>
          </cell>
          <cell r="G106">
            <v>1.02</v>
          </cell>
          <cell r="H106">
            <v>749512.14545454516</v>
          </cell>
          <cell r="I106">
            <v>5914263.1454545455</v>
          </cell>
        </row>
        <row r="107">
          <cell r="B107" t="str">
            <v xml:space="preserve">   - Tàu phục vụ 360CV</v>
          </cell>
          <cell r="C107" t="str">
            <v>Ca</v>
          </cell>
          <cell r="D107">
            <v>5164751</v>
          </cell>
          <cell r="E107">
            <v>201.6</v>
          </cell>
          <cell r="G107">
            <v>1.02</v>
          </cell>
          <cell r="H107">
            <v>749512.14545454516</v>
          </cell>
          <cell r="I107">
            <v>5914263.1454545455</v>
          </cell>
        </row>
        <row r="108">
          <cell r="B108" t="str">
            <v xml:space="preserve">   - Tàu đóng cọc ,búa 1.8-2.5T</v>
          </cell>
          <cell r="C108" t="str">
            <v>Ca</v>
          </cell>
          <cell r="D108">
            <v>4976320</v>
          </cell>
          <cell r="E108">
            <v>46.7</v>
          </cell>
          <cell r="G108">
            <v>1.02</v>
          </cell>
          <cell r="H108">
            <v>173622.10909090901</v>
          </cell>
          <cell r="I108">
            <v>5149942.1090909094</v>
          </cell>
        </row>
        <row r="109">
          <cell r="B109" t="str">
            <v xml:space="preserve">   - Tàu đóng cọc ,búa 1.8-2.5T (chờ)</v>
          </cell>
          <cell r="C109" t="str">
            <v>Ca</v>
          </cell>
          <cell r="D109">
            <v>2187540</v>
          </cell>
          <cell r="H109">
            <v>0</v>
          </cell>
          <cell r="I109">
            <v>2187540</v>
          </cell>
        </row>
        <row r="110">
          <cell r="B110" t="str">
            <v xml:space="preserve">   -Trạm lặn</v>
          </cell>
          <cell r="C110" t="str">
            <v>Ca</v>
          </cell>
          <cell r="D110">
            <v>579309</v>
          </cell>
          <cell r="H110">
            <v>0</v>
          </cell>
          <cell r="I110">
            <v>579309</v>
          </cell>
        </row>
        <row r="111">
          <cell r="B111" t="str">
            <v xml:space="preserve">   - Lò nung keo</v>
          </cell>
          <cell r="C111" t="str">
            <v>Ca</v>
          </cell>
          <cell r="D111">
            <v>740857</v>
          </cell>
          <cell r="E111">
            <v>10.54</v>
          </cell>
          <cell r="G111">
            <v>1.02</v>
          </cell>
          <cell r="H111">
            <v>39185.803636363613</v>
          </cell>
          <cell r="I111">
            <v>780042.80363636359</v>
          </cell>
        </row>
        <row r="112">
          <cell r="B112" t="str">
            <v xml:space="preserve">   - Tời điện 3T</v>
          </cell>
          <cell r="C112" t="str">
            <v>Ca</v>
          </cell>
          <cell r="D112">
            <v>231039</v>
          </cell>
          <cell r="H112">
            <v>0</v>
          </cell>
          <cell r="I112">
            <v>231039</v>
          </cell>
        </row>
        <row r="113">
          <cell r="B113" t="str">
            <v xml:space="preserve">   - Tời điện 5T</v>
          </cell>
          <cell r="C113" t="str">
            <v>Ca</v>
          </cell>
          <cell r="D113">
            <v>249663</v>
          </cell>
          <cell r="H113">
            <v>0</v>
          </cell>
          <cell r="I113">
            <v>249663</v>
          </cell>
        </row>
        <row r="114">
          <cell r="B114" t="str">
            <v xml:space="preserve">   - Xe lao dầm</v>
          </cell>
          <cell r="C114" t="str">
            <v>Ca</v>
          </cell>
          <cell r="D114">
            <v>4720708</v>
          </cell>
          <cell r="H114">
            <v>0</v>
          </cell>
          <cell r="I114">
            <v>4720708</v>
          </cell>
        </row>
        <row r="115">
          <cell r="B115" t="str">
            <v xml:space="preserve">   - Ô tô 2.5T.</v>
          </cell>
          <cell r="C115" t="str">
            <v>Ca</v>
          </cell>
          <cell r="D115">
            <v>650194</v>
          </cell>
          <cell r="F115">
            <v>13</v>
          </cell>
          <cell r="G115">
            <v>1.01</v>
          </cell>
          <cell r="H115">
            <v>31554.545454545416</v>
          </cell>
          <cell r="I115">
            <v>681748.54545454541</v>
          </cell>
        </row>
        <row r="116">
          <cell r="B116" t="str">
            <v xml:space="preserve">   - Ô tô 7T.</v>
          </cell>
          <cell r="C116" t="str">
            <v>Ca</v>
          </cell>
          <cell r="D116">
            <v>1062003</v>
          </cell>
          <cell r="E116">
            <v>31</v>
          </cell>
          <cell r="G116">
            <v>1.02</v>
          </cell>
          <cell r="H116">
            <v>115252.36363636359</v>
          </cell>
          <cell r="I116">
            <v>1177255.3636363635</v>
          </cell>
        </row>
        <row r="117">
          <cell r="B117" t="str">
            <v xml:space="preserve">   - Ô tô thùng 10T</v>
          </cell>
          <cell r="C117" t="str">
            <v>Ca</v>
          </cell>
          <cell r="D117">
            <v>1304972</v>
          </cell>
          <cell r="E117">
            <v>38</v>
          </cell>
          <cell r="G117">
            <v>1.02</v>
          </cell>
          <cell r="H117">
            <v>141277.09090909085</v>
          </cell>
          <cell r="I117">
            <v>1446249.0909090908</v>
          </cell>
        </row>
        <row r="118">
          <cell r="B118" t="str">
            <v xml:space="preserve">   - Ô tô tưới nước 5m3</v>
          </cell>
          <cell r="C118" t="str">
            <v>Ca</v>
          </cell>
          <cell r="D118">
            <v>987330</v>
          </cell>
          <cell r="E118">
            <v>22.5</v>
          </cell>
          <cell r="G118">
            <v>1.02</v>
          </cell>
          <cell r="H118">
            <v>83650.909090909059</v>
          </cell>
          <cell r="I118">
            <v>1070980.9090909092</v>
          </cell>
        </row>
        <row r="119">
          <cell r="B119" t="str">
            <v xml:space="preserve">   - Ô tô tự đổ 5T</v>
          </cell>
          <cell r="C119" t="str">
            <v>Ca</v>
          </cell>
          <cell r="D119">
            <v>1106735</v>
          </cell>
          <cell r="E119">
            <v>40.5</v>
          </cell>
          <cell r="G119">
            <v>1.02</v>
          </cell>
          <cell r="H119">
            <v>150571.63636363629</v>
          </cell>
          <cell r="I119">
            <v>1257306.6363636362</v>
          </cell>
        </row>
        <row r="120">
          <cell r="B120" t="str">
            <v xml:space="preserve">   - Ô tô tự đổ 7T</v>
          </cell>
          <cell r="C120" t="str">
            <v>Ca</v>
          </cell>
          <cell r="D120">
            <v>1323322</v>
          </cell>
          <cell r="E120">
            <v>45.9</v>
          </cell>
          <cell r="G120">
            <v>1.02</v>
          </cell>
          <cell r="H120">
            <v>170647.85454545447</v>
          </cell>
          <cell r="I120">
            <v>1493969.8545454545</v>
          </cell>
        </row>
        <row r="121">
          <cell r="B121" t="str">
            <v xml:space="preserve">   - Ô tô chuyển trộn 6m3</v>
          </cell>
          <cell r="C121" t="str">
            <v>Ca</v>
          </cell>
          <cell r="D121">
            <v>1964562</v>
          </cell>
          <cell r="E121">
            <v>43</v>
          </cell>
          <cell r="G121">
            <v>1.02</v>
          </cell>
          <cell r="H121">
            <v>159866.18181818174</v>
          </cell>
          <cell r="I121">
            <v>2124428.1818181816</v>
          </cell>
        </row>
        <row r="122">
          <cell r="B122" t="str">
            <v xml:space="preserve">   - Máy xúc gầu dây 1.0m3</v>
          </cell>
          <cell r="C122" t="str">
            <v>Ca</v>
          </cell>
          <cell r="D122">
            <v>3140483</v>
          </cell>
          <cell r="E122">
            <v>82.6</v>
          </cell>
          <cell r="G122">
            <v>1.02</v>
          </cell>
          <cell r="H122">
            <v>307091.78181818168</v>
          </cell>
          <cell r="I122">
            <v>3447574.7818181817</v>
          </cell>
        </row>
        <row r="123">
          <cell r="B123" t="str">
            <v xml:space="preserve">   - Máy xúc 1,25m3</v>
          </cell>
          <cell r="C123" t="str">
            <v>Ca</v>
          </cell>
          <cell r="D123">
            <v>1867626</v>
          </cell>
          <cell r="E123">
            <v>47</v>
          </cell>
          <cell r="G123">
            <v>1.02</v>
          </cell>
          <cell r="H123">
            <v>174737.45454545447</v>
          </cell>
          <cell r="I123">
            <v>2042363.4545454546</v>
          </cell>
        </row>
        <row r="124">
          <cell r="B124" t="str">
            <v xml:space="preserve">   - Máy đột dập</v>
          </cell>
          <cell r="C124" t="str">
            <v>Ca</v>
          </cell>
          <cell r="D124">
            <v>220140</v>
          </cell>
          <cell r="H124">
            <v>0</v>
          </cell>
          <cell r="I124">
            <v>220140</v>
          </cell>
        </row>
        <row r="125">
          <cell r="B125" t="str">
            <v xml:space="preserve">   - Xáng cạp 0,65m3</v>
          </cell>
          <cell r="C125" t="str">
            <v>Ca</v>
          </cell>
          <cell r="D125">
            <v>2273525</v>
          </cell>
          <cell r="E125">
            <v>65</v>
          </cell>
          <cell r="G125">
            <v>1.02</v>
          </cell>
          <cell r="H125">
            <v>241658.18181818171</v>
          </cell>
          <cell r="I125">
            <v>2515183.1818181816</v>
          </cell>
        </row>
        <row r="126">
          <cell r="B126" t="str">
            <v xml:space="preserve">   - Xáng cạp 1,2m3</v>
          </cell>
          <cell r="C126" t="str">
            <v>Ca</v>
          </cell>
          <cell r="D126">
            <v>3140483</v>
          </cell>
          <cell r="E126">
            <v>83</v>
          </cell>
          <cell r="G126">
            <v>1.02</v>
          </cell>
          <cell r="H126">
            <v>308578.90909090894</v>
          </cell>
          <cell r="I126">
            <v>3449061.9090909092</v>
          </cell>
        </row>
        <row r="127">
          <cell r="B127" t="str">
            <v xml:space="preserve">   - Máy bơm nước 300CV</v>
          </cell>
          <cell r="C127" t="str">
            <v>Ca</v>
          </cell>
          <cell r="D127">
            <v>3192240</v>
          </cell>
          <cell r="E127">
            <v>110.9</v>
          </cell>
          <cell r="G127">
            <v>1.02</v>
          </cell>
          <cell r="H127">
            <v>412306.0363636362</v>
          </cell>
          <cell r="I127">
            <v>3604546.0363636361</v>
          </cell>
        </row>
        <row r="128">
          <cell r="B128" t="str">
            <v xml:space="preserve">   - Xà lan công tác 200T</v>
          </cell>
          <cell r="C128" t="str">
            <v>Ca</v>
          </cell>
          <cell r="D128">
            <v>919234</v>
          </cell>
          <cell r="H128">
            <v>0</v>
          </cell>
          <cell r="I128">
            <v>919234</v>
          </cell>
        </row>
        <row r="129">
          <cell r="B129" t="str">
            <v xml:space="preserve">   - Xà lan (chứa vật liệu) 200T</v>
          </cell>
          <cell r="C129" t="str">
            <v>Ca</v>
          </cell>
          <cell r="D129">
            <v>460826.8</v>
          </cell>
          <cell r="H129">
            <v>0</v>
          </cell>
          <cell r="I129">
            <v>460826.8</v>
          </cell>
        </row>
        <row r="130">
          <cell r="B130" t="str">
            <v xml:space="preserve">   - Xà lan (chứa đất) 200T</v>
          </cell>
          <cell r="C130" t="str">
            <v>Ca</v>
          </cell>
          <cell r="D130">
            <v>460826.8</v>
          </cell>
          <cell r="H130">
            <v>0</v>
          </cell>
          <cell r="I130">
            <v>460826.8</v>
          </cell>
        </row>
        <row r="131">
          <cell r="B131" t="str">
            <v xml:space="preserve">   - Máy bơm nước áp lực</v>
          </cell>
          <cell r="C131" t="str">
            <v>Ca</v>
          </cell>
          <cell r="D131">
            <v>2937154</v>
          </cell>
          <cell r="E131">
            <v>110.9</v>
          </cell>
          <cell r="G131">
            <v>1.02</v>
          </cell>
          <cell r="H131">
            <v>412306.0363636362</v>
          </cell>
          <cell r="I131">
            <v>3349460.0363636361</v>
          </cell>
        </row>
        <row r="132">
          <cell r="B132" t="str">
            <v xml:space="preserve">   - Cần trục bánh xích 50T</v>
          </cell>
          <cell r="C132" t="str">
            <v>Ca</v>
          </cell>
          <cell r="D132">
            <v>3958733</v>
          </cell>
          <cell r="E132">
            <v>53.75</v>
          </cell>
          <cell r="G132">
            <v>1.02</v>
          </cell>
          <cell r="H132">
            <v>199832.72727272718</v>
          </cell>
          <cell r="I132">
            <v>4158565.7272727271</v>
          </cell>
        </row>
        <row r="133">
          <cell r="B133" t="str">
            <v xml:space="preserve">   - Máy ép cọc &gt;150T     </v>
          </cell>
          <cell r="C133" t="str">
            <v>Ca</v>
          </cell>
          <cell r="D133">
            <v>798837</v>
          </cell>
          <cell r="H133">
            <v>0</v>
          </cell>
          <cell r="I133">
            <v>798837</v>
          </cell>
        </row>
        <row r="134">
          <cell r="B134" t="str">
            <v xml:space="preserve">   - Giá long môn</v>
          </cell>
          <cell r="C134" t="str">
            <v>Ca</v>
          </cell>
          <cell r="D134">
            <v>4720708</v>
          </cell>
          <cell r="H134">
            <v>0</v>
          </cell>
          <cell r="I134">
            <v>4720708</v>
          </cell>
        </row>
        <row r="135">
          <cell r="B135" t="str">
            <v xml:space="preserve">   - Cần cẩu 80T</v>
          </cell>
          <cell r="C135" t="str">
            <v>Ca</v>
          </cell>
          <cell r="D135">
            <v>5271475</v>
          </cell>
          <cell r="E135">
            <v>58</v>
          </cell>
          <cell r="G135">
            <v>1.02</v>
          </cell>
          <cell r="H135">
            <v>215633.45454545444</v>
          </cell>
          <cell r="I135">
            <v>5487108.4545454541</v>
          </cell>
        </row>
        <row r="136">
          <cell r="B136" t="str">
            <v xml:space="preserve">   - Sà lan công trình 800T</v>
          </cell>
          <cell r="C136" t="str">
            <v>Ca</v>
          </cell>
          <cell r="D136">
            <v>1894663</v>
          </cell>
          <cell r="H136">
            <v>0</v>
          </cell>
          <cell r="I136">
            <v>1894663</v>
          </cell>
        </row>
        <row r="137">
          <cell r="B137" t="str">
            <v xml:space="preserve">   - Sà lan chở dầm 800T</v>
          </cell>
          <cell r="C137" t="str">
            <v>Ca</v>
          </cell>
          <cell r="D137">
            <v>1894663</v>
          </cell>
          <cell r="H137">
            <v>0</v>
          </cell>
          <cell r="I137">
            <v>1894663</v>
          </cell>
        </row>
        <row r="138">
          <cell r="B138" t="str">
            <v xml:space="preserve">   - Sà lan công trình 1350T</v>
          </cell>
          <cell r="C138" t="str">
            <v>Ca</v>
          </cell>
          <cell r="D138">
            <v>2489343</v>
          </cell>
          <cell r="H138">
            <v>0</v>
          </cell>
          <cell r="I138">
            <v>2489343</v>
          </cell>
        </row>
        <row r="139">
          <cell r="B139" t="str">
            <v xml:space="preserve">   - Tàu kéo phục vụ thi công 360 CV</v>
          </cell>
          <cell r="C139" t="str">
            <v>Ca</v>
          </cell>
          <cell r="D139">
            <v>5164751</v>
          </cell>
          <cell r="E139">
            <v>202</v>
          </cell>
          <cell r="G139">
            <v>1.02</v>
          </cell>
          <cell r="H139">
            <v>750999.27272727236</v>
          </cell>
          <cell r="I139">
            <v>5915750.2727272725</v>
          </cell>
        </row>
        <row r="140">
          <cell r="B140" t="str">
            <v xml:space="preserve">   - Máy hàn nhiệt</v>
          </cell>
          <cell r="C140" t="str">
            <v>ca</v>
          </cell>
          <cell r="D140">
            <v>429063</v>
          </cell>
          <cell r="H140">
            <v>0</v>
          </cell>
          <cell r="I140">
            <v>429063</v>
          </cell>
        </row>
        <row r="141">
          <cell r="B141" t="str">
            <v xml:space="preserve">   - Búa căn khí nén</v>
          </cell>
          <cell r="C141" t="str">
            <v>Ca</v>
          </cell>
          <cell r="D141">
            <v>226775</v>
          </cell>
          <cell r="H141">
            <v>0</v>
          </cell>
          <cell r="I141">
            <v>226775</v>
          </cell>
        </row>
        <row r="142">
          <cell r="B142" t="str">
            <v xml:space="preserve">   - Máy nén khí 360 h/m3</v>
          </cell>
          <cell r="C142" t="str">
            <v>Ca</v>
          </cell>
          <cell r="D142">
            <v>912645</v>
          </cell>
          <cell r="E142">
            <v>35</v>
          </cell>
          <cell r="G142">
            <v>1.02</v>
          </cell>
          <cell r="H142">
            <v>130123.63636363631</v>
          </cell>
          <cell r="I142">
            <v>1042768.6363636364</v>
          </cell>
        </row>
        <row r="143">
          <cell r="B143" t="str">
            <v xml:space="preserve">   - Máy bơm cát 350CV</v>
          </cell>
          <cell r="C143" t="str">
            <v>Ca</v>
          </cell>
          <cell r="D143">
            <v>2578124</v>
          </cell>
          <cell r="E143">
            <v>127</v>
          </cell>
          <cell r="G143">
            <v>1.02</v>
          </cell>
          <cell r="H143">
            <v>472162.90909090888</v>
          </cell>
          <cell r="I143">
            <v>3050286.9090909087</v>
          </cell>
        </row>
        <row r="144">
          <cell r="B144" t="str">
            <v xml:space="preserve">   - Máy bơm cát 480CV</v>
          </cell>
          <cell r="C144" t="str">
            <v>Ca</v>
          </cell>
          <cell r="D144">
            <v>3349298</v>
          </cell>
          <cell r="E144">
            <v>168</v>
          </cell>
          <cell r="G144">
            <v>1.02</v>
          </cell>
          <cell r="H144">
            <v>624593.45454545424</v>
          </cell>
          <cell r="I144">
            <v>3973891.4545454541</v>
          </cell>
        </row>
        <row r="145">
          <cell r="B145" t="str">
            <v xml:space="preserve">   - Máy bơm cát 126CV</v>
          </cell>
          <cell r="C145" t="str">
            <v>Ca</v>
          </cell>
          <cell r="D145">
            <v>1207509</v>
          </cell>
          <cell r="E145">
            <v>54</v>
          </cell>
          <cell r="G145">
            <v>1.02</v>
          </cell>
          <cell r="H145">
            <v>200762.18181818174</v>
          </cell>
          <cell r="I145">
            <v>1408271.1818181816</v>
          </cell>
        </row>
        <row r="146">
          <cell r="B146" t="str">
            <v xml:space="preserve">   - Thuyền ( ghe) 5T đặt máy bơm</v>
          </cell>
          <cell r="C146" t="str">
            <v>Ca</v>
          </cell>
          <cell r="D146">
            <v>942940</v>
          </cell>
          <cell r="E146">
            <v>44</v>
          </cell>
          <cell r="G146">
            <v>1.02</v>
          </cell>
          <cell r="H146">
            <v>163583.99999999994</v>
          </cell>
          <cell r="I146">
            <v>1106524</v>
          </cell>
        </row>
        <row r="147">
          <cell r="B147" t="str">
            <v xml:space="preserve">   - Máy thả rồng</v>
          </cell>
          <cell r="C147" t="str">
            <v>Ca</v>
          </cell>
          <cell r="D147">
            <v>152000</v>
          </cell>
          <cell r="H147">
            <v>0</v>
          </cell>
          <cell r="I147">
            <v>152000</v>
          </cell>
        </row>
        <row r="148">
          <cell r="B148" t="str">
            <v xml:space="preserve">   - Máy bơm bê tông 50m3/h</v>
          </cell>
          <cell r="C148" t="str">
            <v>Ca</v>
          </cell>
          <cell r="D148">
            <v>2025694</v>
          </cell>
          <cell r="H148">
            <v>0</v>
          </cell>
          <cell r="I148">
            <v>2025694</v>
          </cell>
        </row>
        <row r="149">
          <cell r="B149" t="str">
            <v xml:space="preserve">   - Xà lan 20 tấn</v>
          </cell>
          <cell r="C149" t="str">
            <v>Ca</v>
          </cell>
          <cell r="D149">
            <v>443301</v>
          </cell>
          <cell r="H149">
            <v>0</v>
          </cell>
          <cell r="I149">
            <v>443301</v>
          </cell>
        </row>
        <row r="150">
          <cell r="B150" t="str">
            <v xml:space="preserve">   - Palăng xích 5 tấn</v>
          </cell>
          <cell r="C150" t="str">
            <v>Ca</v>
          </cell>
          <cell r="D150">
            <v>183727</v>
          </cell>
          <cell r="H150">
            <v>0</v>
          </cell>
          <cell r="I150">
            <v>183727</v>
          </cell>
        </row>
        <row r="151">
          <cell r="B151" t="str">
            <v xml:space="preserve">   - Trạm trộn 30m3/h</v>
          </cell>
          <cell r="C151" t="str">
            <v>Ca</v>
          </cell>
          <cell r="D151">
            <v>2569714</v>
          </cell>
          <cell r="H151">
            <v>0</v>
          </cell>
          <cell r="I151">
            <v>2569714</v>
          </cell>
        </row>
      </sheetData>
      <sheetData sheetId="18" refreshError="1"/>
      <sheetData sheetId="19"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DULIEUDAUVAO"/>
      <sheetName val="DGXDCT_1"/>
      <sheetName val="THNLXM"/>
      <sheetName val="DGCTDT"/>
      <sheetName val="THDGDT"/>
      <sheetName val="THUYETMINH"/>
      <sheetName val="TONG HOP"/>
      <sheetName val="THDTCT (4)"/>
      <sheetName val="THDTCT (3)"/>
      <sheetName val="THDTCT (2)"/>
      <sheetName val="THDTCT (7)"/>
      <sheetName val="THDTCT (6)"/>
      <sheetName val="THDTCT"/>
      <sheetName val="THDTXD"/>
      <sheetName val="DGXDTH"/>
      <sheetName val="DGXDCT"/>
      <sheetName val="TH_VL_NC_XM"/>
      <sheetName val="PTVL_NC_XM"/>
      <sheetName val="TMVL"/>
      <sheetName val="GIAVL"/>
      <sheetName val="GIAXM"/>
      <sheetName val="KL"/>
      <sheetName val="HESO"/>
      <sheetName val="Sheet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sheetData sheetId="2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INFOR"/>
      <sheetName val="LISTBIENBAN"/>
      <sheetName val="KRTAVLIEU"/>
      <sheetName val="LISTNGHIEMTHU"/>
      <sheetName val="1.NTNB"/>
      <sheetName val="2.PYC"/>
      <sheetName val="3.NTCV"/>
      <sheetName val="5.KLKEMTHEO"/>
      <sheetName val="6.DGIAI"/>
      <sheetName val="7.BANGTINKHOILUONG"/>
      <sheetName val="4.BBMAUBT"/>
    </sheetNames>
    <sheetDataSet>
      <sheetData sheetId="0" refreshError="1">
        <row r="1">
          <cell r="C1" t="str">
            <v>Hệ thống thủy lợi Bắc Bến Tre giai đoạn 1, tỉnh Bến Tre</v>
          </cell>
        </row>
        <row r="2">
          <cell r="C2" t="str">
            <v>Xây dựng, lắp đặt thiết bị cống kênh cũ và đê bao ven sông Hàm Luông từ cống Cái Mít đến cống cầu Kinh/XL06</v>
          </cell>
        </row>
        <row r="4">
          <cell r="C4" t="str">
            <v>Ban quản lý dự án đầu tư xây dựng các công trình nông nghiệp và phát triển nông thôn tỉnh Bến Tre</v>
          </cell>
        </row>
        <row r="5">
          <cell r="C5" t="str">
            <v>Liên danh Công ty TNHH Xây dựng Chấn Hưng - Công ty cổ phần Đầu tư &amp; xây dựng Đại Phước An - Công ty CPXD hạ tầng thủy lợi Hà Nội</v>
          </cell>
        </row>
        <row r="6">
          <cell r="C6" t="str">
            <v>Huyện Giồng Trôm, tỉnh Bến Tre</v>
          </cell>
        </row>
        <row r="12">
          <cell r="B12" t="str">
            <v xml:space="preserve">2.1. Đại diện đơn vị tư vấn giám sát:  Ban QLDA Đầu tư xây dựng các công trình NN &amp; PTNT </v>
          </cell>
        </row>
        <row r="13">
          <cell r="C13" t="str">
            <v>+Ông : Nguyễn Công Trọng</v>
          </cell>
          <cell r="G13" t="str">
            <v>+Chức vụ : Giám sát trưởng</v>
          </cell>
        </row>
        <row r="14">
          <cell r="C14" t="str">
            <v>+Ông : Cù Văn Thập</v>
          </cell>
          <cell r="G14" t="str">
            <v>+Chức vụ : Giám sát viên</v>
          </cell>
        </row>
        <row r="15">
          <cell r="B15" t="str">
            <v>2.2. Đại diện Đơn vị thi công:</v>
          </cell>
        </row>
        <row r="21">
          <cell r="C21" t="str">
            <v>+Ông :</v>
          </cell>
          <cell r="G21" t="str">
            <v>+Chức vụ : Cán bộ kỹ thuật</v>
          </cell>
        </row>
        <row r="24">
          <cell r="C24" t="str">
            <v>+Ông : Nguyễn Văn Trọn</v>
          </cell>
          <cell r="G24" t="str">
            <v>+Chức vụ : Chỉ huy trưởng</v>
          </cell>
        </row>
        <row r="31">
          <cell r="B31" t="str">
            <v>ĐD. ĐƠN VỊ GIÁM SÁT</v>
          </cell>
        </row>
        <row r="32">
          <cell r="B32" t="str">
            <v>ĐD. ĐƠN VỊ THI CÔNG</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WEISS2"/>
    </sheetNames>
    <definedNames>
      <definedName name="changecolor"/>
      <definedName name="color_CANCEL"/>
      <definedName name="color_DEFAULT"/>
      <definedName name="color_OK"/>
      <definedName name="colorlist_change"/>
    </defined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Quantity"/>
      <sheetName val="tt"/>
      <sheetName val="Du toan"/>
      <sheetName val="Keothep"/>
      <sheetName val="Re-bar"/>
      <sheetName val="Basic"/>
      <sheetName val="XL4Poppy"/>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Tinh tong hop du toan"/>
    </sheetNames>
    <definedNames>
      <definedName name="cplhsmt" refersTo="#REF!"/>
      <definedName name="cptdhsmt" refersTo="#REF!"/>
      <definedName name="cptdtdt" refersTo="#REF!"/>
      <definedName name="cptdtkkt" refersTo="#REF!"/>
    </defined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UOC BOC DO"/>
      <sheetName val="CUOC VAN CHUYEN"/>
      <sheetName val="VAT LIEU"/>
      <sheetName val="KHAI BAO"/>
      <sheetName val="TMVL"/>
      <sheetName val="BANG1(VCDB1)"/>
      <sheetName val="BANG1(VCDB2)"/>
      <sheetName val="BANG1(VCDB3)"/>
      <sheetName val="BANG2(VCDS1)"/>
      <sheetName val="BANG2(VCDS2)"/>
    </sheetNames>
    <sheetDataSet>
      <sheetData sheetId="0"/>
      <sheetData sheetId="1">
        <row r="4">
          <cell r="B4">
            <v>2</v>
          </cell>
          <cell r="C4">
            <v>3</v>
          </cell>
          <cell r="D4">
            <v>4</v>
          </cell>
          <cell r="E4">
            <v>5</v>
          </cell>
        </row>
        <row r="5">
          <cell r="A5">
            <v>1</v>
          </cell>
          <cell r="G5">
            <v>1</v>
          </cell>
        </row>
        <row r="6">
          <cell r="A6">
            <v>2</v>
          </cell>
          <cell r="G6">
            <v>2</v>
          </cell>
        </row>
        <row r="7">
          <cell r="A7">
            <v>3</v>
          </cell>
          <cell r="G7">
            <v>3</v>
          </cell>
        </row>
        <row r="8">
          <cell r="A8">
            <v>4</v>
          </cell>
          <cell r="G8">
            <v>4</v>
          </cell>
        </row>
        <row r="9">
          <cell r="A9">
            <v>5</v>
          </cell>
          <cell r="G9">
            <v>5</v>
          </cell>
        </row>
        <row r="10">
          <cell r="A10">
            <v>6</v>
          </cell>
          <cell r="G10">
            <v>6</v>
          </cell>
        </row>
        <row r="11">
          <cell r="A11">
            <v>7</v>
          </cell>
          <cell r="G11">
            <v>7</v>
          </cell>
        </row>
        <row r="12">
          <cell r="A12">
            <v>8</v>
          </cell>
          <cell r="G12">
            <v>8</v>
          </cell>
        </row>
        <row r="13">
          <cell r="A13">
            <v>9</v>
          </cell>
          <cell r="G13">
            <v>9</v>
          </cell>
        </row>
        <row r="14">
          <cell r="A14">
            <v>10</v>
          </cell>
          <cell r="G14">
            <v>10</v>
          </cell>
        </row>
        <row r="15">
          <cell r="A15">
            <v>11</v>
          </cell>
          <cell r="G15">
            <v>11</v>
          </cell>
        </row>
        <row r="16">
          <cell r="A16">
            <v>12</v>
          </cell>
          <cell r="G16">
            <v>12</v>
          </cell>
        </row>
        <row r="17">
          <cell r="A17">
            <v>13</v>
          </cell>
          <cell r="G17">
            <v>13</v>
          </cell>
        </row>
        <row r="18">
          <cell r="A18">
            <v>14</v>
          </cell>
          <cell r="G18">
            <v>14</v>
          </cell>
        </row>
        <row r="19">
          <cell r="A19">
            <v>15</v>
          </cell>
          <cell r="G19">
            <v>15</v>
          </cell>
        </row>
        <row r="20">
          <cell r="A20">
            <v>16</v>
          </cell>
          <cell r="G20">
            <v>16</v>
          </cell>
        </row>
        <row r="21">
          <cell r="A21">
            <v>17</v>
          </cell>
          <cell r="G21">
            <v>17</v>
          </cell>
        </row>
        <row r="22">
          <cell r="A22">
            <v>18</v>
          </cell>
          <cell r="G22">
            <v>18</v>
          </cell>
        </row>
        <row r="23">
          <cell r="A23">
            <v>19</v>
          </cell>
          <cell r="G23">
            <v>19</v>
          </cell>
        </row>
        <row r="24">
          <cell r="A24">
            <v>20</v>
          </cell>
          <cell r="G24">
            <v>20</v>
          </cell>
        </row>
        <row r="25">
          <cell r="A25">
            <v>21</v>
          </cell>
          <cell r="G25">
            <v>21</v>
          </cell>
        </row>
        <row r="26">
          <cell r="A26">
            <v>22</v>
          </cell>
          <cell r="G26">
            <v>22</v>
          </cell>
        </row>
        <row r="27">
          <cell r="A27">
            <v>23</v>
          </cell>
          <cell r="G27">
            <v>23</v>
          </cell>
        </row>
        <row r="28">
          <cell r="A28">
            <v>24</v>
          </cell>
          <cell r="G28">
            <v>24</v>
          </cell>
        </row>
        <row r="29">
          <cell r="A29">
            <v>25</v>
          </cell>
          <cell r="G29">
            <v>25</v>
          </cell>
        </row>
        <row r="30">
          <cell r="A30">
            <v>26</v>
          </cell>
          <cell r="G30">
            <v>26</v>
          </cell>
        </row>
        <row r="31">
          <cell r="A31">
            <v>27</v>
          </cell>
          <cell r="G31">
            <v>27</v>
          </cell>
        </row>
        <row r="32">
          <cell r="A32">
            <v>28</v>
          </cell>
          <cell r="G32">
            <v>28</v>
          </cell>
        </row>
        <row r="33">
          <cell r="A33">
            <v>29</v>
          </cell>
          <cell r="G33">
            <v>29</v>
          </cell>
        </row>
        <row r="34">
          <cell r="A34">
            <v>30</v>
          </cell>
          <cell r="G34">
            <v>30</v>
          </cell>
        </row>
        <row r="35">
          <cell r="A35">
            <v>31</v>
          </cell>
          <cell r="G35">
            <v>31</v>
          </cell>
        </row>
        <row r="36">
          <cell r="A36">
            <v>32</v>
          </cell>
          <cell r="G36">
            <v>32</v>
          </cell>
        </row>
        <row r="37">
          <cell r="A37">
            <v>33</v>
          </cell>
          <cell r="G37">
            <v>33</v>
          </cell>
        </row>
        <row r="38">
          <cell r="A38">
            <v>34</v>
          </cell>
          <cell r="G38">
            <v>34</v>
          </cell>
        </row>
        <row r="39">
          <cell r="A39">
            <v>35</v>
          </cell>
          <cell r="G39">
            <v>35</v>
          </cell>
        </row>
        <row r="40">
          <cell r="A40">
            <v>36</v>
          </cell>
          <cell r="G40">
            <v>36</v>
          </cell>
        </row>
        <row r="41">
          <cell r="A41">
            <v>37</v>
          </cell>
          <cell r="G41">
            <v>37</v>
          </cell>
        </row>
        <row r="42">
          <cell r="A42">
            <v>38</v>
          </cell>
          <cell r="G42">
            <v>38</v>
          </cell>
        </row>
        <row r="43">
          <cell r="A43">
            <v>39</v>
          </cell>
          <cell r="G43">
            <v>39</v>
          </cell>
        </row>
        <row r="44">
          <cell r="A44">
            <v>40</v>
          </cell>
          <cell r="G44">
            <v>40</v>
          </cell>
        </row>
        <row r="45">
          <cell r="A45">
            <v>41</v>
          </cell>
          <cell r="G45">
            <v>41</v>
          </cell>
        </row>
        <row r="46">
          <cell r="A46">
            <v>42</v>
          </cell>
          <cell r="G46">
            <v>42</v>
          </cell>
        </row>
        <row r="47">
          <cell r="A47">
            <v>43</v>
          </cell>
          <cell r="G47">
            <v>43</v>
          </cell>
        </row>
        <row r="48">
          <cell r="A48">
            <v>44</v>
          </cell>
          <cell r="G48">
            <v>44</v>
          </cell>
        </row>
        <row r="49">
          <cell r="A49">
            <v>45</v>
          </cell>
          <cell r="G49">
            <v>45</v>
          </cell>
        </row>
        <row r="50">
          <cell r="A50">
            <v>46</v>
          </cell>
          <cell r="G50">
            <v>46</v>
          </cell>
        </row>
        <row r="51">
          <cell r="A51">
            <v>47</v>
          </cell>
          <cell r="G51">
            <v>47</v>
          </cell>
        </row>
        <row r="52">
          <cell r="A52">
            <v>48</v>
          </cell>
          <cell r="G52">
            <v>48</v>
          </cell>
        </row>
        <row r="53">
          <cell r="A53">
            <v>49</v>
          </cell>
          <cell r="G53">
            <v>49</v>
          </cell>
        </row>
        <row r="54">
          <cell r="A54">
            <v>50</v>
          </cell>
          <cell r="G54">
            <v>50</v>
          </cell>
        </row>
        <row r="55">
          <cell r="A55">
            <v>51</v>
          </cell>
          <cell r="G55">
            <v>51</v>
          </cell>
        </row>
        <row r="56">
          <cell r="A56">
            <v>52</v>
          </cell>
          <cell r="G56">
            <v>52</v>
          </cell>
        </row>
        <row r="57">
          <cell r="A57">
            <v>53</v>
          </cell>
          <cell r="G57">
            <v>53</v>
          </cell>
        </row>
        <row r="58">
          <cell r="A58">
            <v>54</v>
          </cell>
          <cell r="G58">
            <v>54</v>
          </cell>
        </row>
        <row r="59">
          <cell r="A59">
            <v>55</v>
          </cell>
          <cell r="G59">
            <v>55</v>
          </cell>
        </row>
        <row r="60">
          <cell r="A60">
            <v>56</v>
          </cell>
          <cell r="G60">
            <v>56</v>
          </cell>
        </row>
        <row r="61">
          <cell r="A61">
            <v>57</v>
          </cell>
          <cell r="G61">
            <v>57</v>
          </cell>
        </row>
        <row r="62">
          <cell r="A62">
            <v>58</v>
          </cell>
          <cell r="G62">
            <v>58</v>
          </cell>
        </row>
        <row r="63">
          <cell r="A63">
            <v>59</v>
          </cell>
          <cell r="G63">
            <v>59</v>
          </cell>
        </row>
        <row r="64">
          <cell r="A64">
            <v>60</v>
          </cell>
          <cell r="G64">
            <v>60</v>
          </cell>
        </row>
        <row r="65">
          <cell r="A65">
            <v>61</v>
          </cell>
          <cell r="G65">
            <v>61</v>
          </cell>
        </row>
        <row r="66">
          <cell r="A66">
            <v>62</v>
          </cell>
          <cell r="G66">
            <v>62</v>
          </cell>
        </row>
        <row r="67">
          <cell r="A67">
            <v>63</v>
          </cell>
          <cell r="G67">
            <v>63</v>
          </cell>
        </row>
        <row r="68">
          <cell r="A68">
            <v>64</v>
          </cell>
          <cell r="G68">
            <v>64</v>
          </cell>
        </row>
        <row r="69">
          <cell r="A69">
            <v>65</v>
          </cell>
          <cell r="G69">
            <v>65</v>
          </cell>
        </row>
        <row r="70">
          <cell r="A70">
            <v>66</v>
          </cell>
          <cell r="G70">
            <v>66</v>
          </cell>
        </row>
        <row r="71">
          <cell r="A71">
            <v>67</v>
          </cell>
          <cell r="G71">
            <v>67</v>
          </cell>
        </row>
        <row r="72">
          <cell r="A72">
            <v>68</v>
          </cell>
          <cell r="G72">
            <v>68</v>
          </cell>
        </row>
        <row r="73">
          <cell r="A73">
            <v>69</v>
          </cell>
          <cell r="G73">
            <v>69</v>
          </cell>
        </row>
        <row r="74">
          <cell r="A74">
            <v>70</v>
          </cell>
          <cell r="G74">
            <v>70</v>
          </cell>
        </row>
        <row r="75">
          <cell r="A75">
            <v>71</v>
          </cell>
          <cell r="G75">
            <v>71</v>
          </cell>
        </row>
        <row r="76">
          <cell r="A76">
            <v>72</v>
          </cell>
          <cell r="G76">
            <v>72</v>
          </cell>
        </row>
        <row r="77">
          <cell r="A77">
            <v>73</v>
          </cell>
          <cell r="G77">
            <v>73</v>
          </cell>
        </row>
        <row r="78">
          <cell r="A78">
            <v>74</v>
          </cell>
          <cell r="G78">
            <v>74</v>
          </cell>
        </row>
        <row r="79">
          <cell r="A79">
            <v>75</v>
          </cell>
          <cell r="G79">
            <v>75</v>
          </cell>
        </row>
        <row r="80">
          <cell r="A80">
            <v>76</v>
          </cell>
          <cell r="G80">
            <v>76</v>
          </cell>
        </row>
        <row r="81">
          <cell r="A81">
            <v>77</v>
          </cell>
          <cell r="G81">
            <v>77</v>
          </cell>
        </row>
        <row r="82">
          <cell r="A82">
            <v>78</v>
          </cell>
          <cell r="G82">
            <v>78</v>
          </cell>
        </row>
        <row r="83">
          <cell r="A83">
            <v>79</v>
          </cell>
          <cell r="G83">
            <v>79</v>
          </cell>
        </row>
        <row r="84">
          <cell r="A84">
            <v>80</v>
          </cell>
          <cell r="G84">
            <v>80</v>
          </cell>
        </row>
        <row r="85">
          <cell r="A85">
            <v>81</v>
          </cell>
          <cell r="G85">
            <v>81</v>
          </cell>
        </row>
        <row r="86">
          <cell r="A86">
            <v>82</v>
          </cell>
          <cell r="G86">
            <v>82</v>
          </cell>
        </row>
        <row r="87">
          <cell r="A87">
            <v>83</v>
          </cell>
          <cell r="G87">
            <v>83</v>
          </cell>
        </row>
        <row r="88">
          <cell r="A88">
            <v>84</v>
          </cell>
          <cell r="G88">
            <v>84</v>
          </cell>
        </row>
        <row r="89">
          <cell r="A89">
            <v>85</v>
          </cell>
          <cell r="G89">
            <v>85</v>
          </cell>
        </row>
        <row r="90">
          <cell r="A90">
            <v>86</v>
          </cell>
          <cell r="G90">
            <v>86</v>
          </cell>
        </row>
        <row r="91">
          <cell r="A91">
            <v>87</v>
          </cell>
          <cell r="G91">
            <v>87</v>
          </cell>
        </row>
        <row r="92">
          <cell r="A92">
            <v>88</v>
          </cell>
          <cell r="G92">
            <v>88</v>
          </cell>
        </row>
        <row r="93">
          <cell r="A93">
            <v>89</v>
          </cell>
          <cell r="G93">
            <v>89</v>
          </cell>
        </row>
        <row r="94">
          <cell r="A94">
            <v>90</v>
          </cell>
          <cell r="G94">
            <v>90</v>
          </cell>
        </row>
        <row r="95">
          <cell r="A95">
            <v>91</v>
          </cell>
          <cell r="G95">
            <v>91</v>
          </cell>
        </row>
        <row r="96">
          <cell r="A96">
            <v>92</v>
          </cell>
          <cell r="G96">
            <v>92</v>
          </cell>
        </row>
        <row r="97">
          <cell r="A97">
            <v>93</v>
          </cell>
          <cell r="G97">
            <v>93</v>
          </cell>
        </row>
        <row r="98">
          <cell r="A98">
            <v>94</v>
          </cell>
          <cell r="G98">
            <v>94</v>
          </cell>
        </row>
        <row r="99">
          <cell r="A99">
            <v>95</v>
          </cell>
          <cell r="G99">
            <v>95</v>
          </cell>
        </row>
        <row r="100">
          <cell r="A100">
            <v>96</v>
          </cell>
          <cell r="G100">
            <v>96</v>
          </cell>
        </row>
        <row r="101">
          <cell r="A101">
            <v>97</v>
          </cell>
          <cell r="G101">
            <v>97</v>
          </cell>
        </row>
        <row r="102">
          <cell r="A102">
            <v>98</v>
          </cell>
          <cell r="G102">
            <v>98</v>
          </cell>
        </row>
        <row r="103">
          <cell r="A103">
            <v>99</v>
          </cell>
          <cell r="G103">
            <v>99</v>
          </cell>
        </row>
        <row r="104">
          <cell r="A104">
            <v>100</v>
          </cell>
          <cell r="G104">
            <v>100</v>
          </cell>
        </row>
      </sheetData>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PIPE-03E"/>
      <sheetName val="BC_KKTSCD"/>
      <sheetName val="Chitiet"/>
      <sheetName val="Sheet2 (2)"/>
      <sheetName val="Mau_BC_KKTSCD"/>
      <sheetName val="Chi tiet - Dv lap"/>
      <sheetName val="TH KHTC"/>
      <sheetName val="000"/>
      <sheetName val="00000000"/>
      <sheetName val="Dong Dau"/>
      <sheetName val="Dong Dau (2)"/>
      <sheetName val="Sau dong"/>
      <sheetName val="Ma xa"/>
      <sheetName val="My dinh"/>
      <sheetName val="Tong cong"/>
      <sheetName val="Sheet5"/>
      <sheetName val="MD"/>
      <sheetName val="ND"/>
      <sheetName val="CONG"/>
      <sheetName val="DGCT"/>
      <sheetName val="KH 2003 (moi max)"/>
      <sheetName val="Chart2"/>
      <sheetName val="Chart1"/>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Interim payment"/>
      <sheetName val="Letter"/>
      <sheetName val="Bid Sum"/>
      <sheetName val="Item B"/>
      <sheetName val="Dg A"/>
      <sheetName val="Dg B&amp;C"/>
      <sheetName val="Rates&amp;Prices"/>
      <sheetName val="Material at site"/>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1"/>
      <sheetName val="Gia VL"/>
      <sheetName val="Bang gia ca may"/>
      <sheetName val="Bang luong CB"/>
      <sheetName val="Bang P.tich CT"/>
      <sheetName val="D.toan chi tiet"/>
      <sheetName val="Bang TH Dtoan"/>
      <sheetName val="XXXXXXXX"/>
      <sheetName val="VL"/>
      <sheetName val="CTXD"/>
      <sheetName val=".."/>
      <sheetName val="CTDN"/>
      <sheetName val="san vuon"/>
      <sheetName val="khu phu tro"/>
      <sheetName val="TH"/>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be tong"/>
      <sheetName val="Thep"/>
      <sheetName val="Tong hop thep"/>
      <sheetName val="Thuyet minh"/>
      <sheetName val="CQ-HQ"/>
      <sheetName val="KH12"/>
      <sheetName val="CN12"/>
      <sheetName val="HD12"/>
      <sheetName val="KH1"/>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10000000"/>
      <sheetName val="Congty"/>
      <sheetName val="VPPN"/>
      <sheetName val="XN74"/>
      <sheetName val="XN54"/>
      <sheetName val="XN33"/>
      <sheetName val="NK96"/>
      <sheetName val="XL4Test5"/>
      <sheetName val="THCT"/>
      <sheetName val="cap cho cac DT"/>
      <sheetName val="Ung - hoan"/>
      <sheetName val="CP may"/>
      <sheetName val="SS"/>
      <sheetName val="NVL"/>
      <sheetName val="Sheet17"/>
      <sheetName val="DS them luong qui 4-2002"/>
      <sheetName val="Phuc loi 2-9-02"/>
      <sheetName val="PCLB-2002"/>
      <sheetName val="Thuong nhan dip 21-12-02"/>
      <sheetName val="Thuong dip nhan danh hieu AHL§"/>
      <sheetName val="Thang luong thu 13 nam 2002"/>
      <sheetName val="Luong SX# dip Tet Qui Mui(dong)"/>
      <sheetName val="Sheet13"/>
      <sheetName val="Sheet14"/>
      <sheetName val="Sheet15"/>
      <sheetName val="Sheet16"/>
      <sheetName val="dutoan1"/>
      <sheetName val="Anhtoan"/>
      <sheetName val="dutoan2"/>
      <sheetName val="vat tu"/>
      <sheetName val="binh do"/>
      <sheetName val="cot lieu"/>
      <sheetName val="van khuon"/>
      <sheetName val="CT BT"/>
      <sheetName val="lay mau"/>
      <sheetName val="mat ngoai goi"/>
      <sheetName val="coc tram-bt"/>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DTHH"/>
      <sheetName val="Bang1"/>
      <sheetName val="TAI TRONG"/>
      <sheetName val="NOI LUC"/>
      <sheetName val="TINH DUYET THTT CHINH"/>
      <sheetName val="TDUYET THTT PHU"/>
      <sheetName val="TINH DAO DONG VA DO VONG"/>
      <sheetName val="TINH NEO"/>
      <sheetName val="Quang Tri"/>
      <sheetName val="TTHue"/>
      <sheetName val="Da Nang"/>
      <sheetName val="Quang Nam"/>
      <sheetName val="Quang Ngai"/>
      <sheetName val="TH DH-QN"/>
      <sheetName val="KP HD"/>
      <sheetName val="DB HD"/>
      <sheetName val="THDT"/>
      <sheetName val="DM-Goc"/>
      <sheetName val="Gia-CT"/>
      <sheetName val="PTCP"/>
      <sheetName val="cphoi"/>
      <sheetName val="cd viaK0-T6"/>
      <sheetName val="cdvia T6-Tc24"/>
      <sheetName val="cdvia Tc24-T46"/>
      <sheetName val="cdbtnL2ko-k0+361"/>
      <sheetName val="cd btnL2k0+361-T19"/>
      <sheetName val="01"/>
      <sheetName val="02"/>
      <sheetName val="03"/>
      <sheetName val="04"/>
      <sheetName val="05"/>
      <sheetName val="Sheet18"/>
      <sheetName val="Sheet19"/>
      <sheetName val="Sheet20"/>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T"/>
      <sheetName val="THND"/>
      <sheetName val="THMD"/>
      <sheetName val="Phtro1"/>
      <sheetName val="DTKS1"/>
      <sheetName val="CT1m"/>
      <sheetName val="Thep "/>
      <sheetName val="Chi tiet Khoi luong"/>
      <sheetName val="TH khoi luong"/>
      <sheetName val="Chiet tinh vat lieu "/>
      <sheetName val="TH KL VL"/>
      <sheetName val="PTCT"/>
      <sheetName val="CDghino"/>
      <sheetName val="Tonghop"/>
      <sheetName val="TH (T1-6)"/>
      <sheetName val="ThueTB"/>
      <sheetName val="SCD5"/>
      <sheetName val=" NL"/>
      <sheetName val="CPVL-CPM"/>
      <sheetName val="PTVL"/>
      <sheetName val="CD1"/>
      <sheetName val=" NL (2)"/>
      <sheetName val="CDTHCT"/>
      <sheetName val="CDTHCT (3)"/>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HIT"/>
      <sheetName val="THXH"/>
      <sheetName val="BHXH"/>
      <sheetName val="cong Q2"/>
      <sheetName val="T.U luong Q1"/>
      <sheetName val="T.U luong Q2"/>
      <sheetName val="T.U luong Q3"/>
      <sheetName val="9"/>
      <sheetName val="10"/>
      <sheetName val="phan tich DG"/>
      <sheetName val="gia vat lieu"/>
      <sheetName val="gia xe may"/>
      <sheetName val="gia nhan cong"/>
      <sheetName val="tscd"/>
      <sheetName val="KL VL"/>
      <sheetName val="KHCTiet"/>
      <sheetName val="QT 9-6"/>
      <sheetName val="Thuong luu HB"/>
      <sheetName val="QT03"/>
      <sheetName val="QT"/>
      <sheetName val="PTmay"/>
      <sheetName val="KK"/>
      <sheetName val="QT Ky T"/>
      <sheetName val="BCKT"/>
      <sheetName val="bc vt TON BAI"/>
      <sheetName val="XXXXXXX0"/>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KM"/>
      <sheetName val="KHOANMUC"/>
      <sheetName val="CPQL"/>
      <sheetName val="SANLUONG"/>
      <sheetName val="SSCP-SL"/>
      <sheetName val="CPSX"/>
      <sheetName val="KQKD"/>
      <sheetName val="CDSL (2)"/>
      <sheetName val="00000001"/>
      <sheetName val="00000002"/>
      <sheetName val="00000003"/>
      <sheetName val="00000004"/>
      <sheetName val="THDGK"/>
      <sheetName val="THDGTT"/>
      <sheetName val="Cong hop"/>
      <sheetName val="nt+dd+cl"/>
      <sheetName val="kc+conlaiql"/>
      <sheetName val="kc+clai(107)"/>
      <sheetName val="duong(107)"/>
      <sheetName val="qui1"/>
      <sheetName val="1,3-30,4"/>
      <sheetName val="kldukien"/>
      <sheetName val="kldukien (107)"/>
      <sheetName val="thang4"/>
      <sheetName val="qui1 (2)"/>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M"/>
      <sheetName val="BU-gian"/>
      <sheetName val="Bu-Ha"/>
      <sheetName val="PTVT"/>
      <sheetName val="Gia DAN"/>
      <sheetName val="Dan"/>
      <sheetName val="Cuoc"/>
      <sheetName val="Bugia"/>
      <sheetName val="KL57"/>
      <sheetName val="XE DAU"/>
      <sheetName val="XE XANG"/>
      <sheetName val="Quyet toan"/>
      <sheetName val="Thu hoi"/>
      <sheetName val="Lai vay"/>
      <sheetName val="Tien vay"/>
      <sheetName val="Cong no"/>
      <sheetName val="Cop pha"/>
      <sheetName val="20000000"/>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C45A-BH"/>
      <sheetName val="C46A-BH"/>
      <sheetName val="C47A-BH"/>
      <sheetName val="C48A-BH"/>
      <sheetName val="S-53-1"/>
      <sheetName val="NAM 2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ien ung"/>
      <sheetName val="phi luong3"/>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sent to"/>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TH du toan "/>
      <sheetName val="Du toan "/>
      <sheetName val="Caodo"/>
      <sheetName val="Dat"/>
      <sheetName val="KL-CTTK"/>
      <sheetName val="BTH"/>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Q1-02"/>
      <sheetName val="Q2-02"/>
      <sheetName val="Q3-02"/>
      <sheetName val="Phu luc HD"/>
      <sheetName val="Gia du thau"/>
      <sheetName val="PTDG"/>
      <sheetName val="Ca xe"/>
      <sheetName val="T1(T1)04"/>
      <sheetName val="KH-2001"/>
      <sheetName val="KH-2002"/>
      <sheetName val="KH-2003"/>
      <sheetName val="DGTL"/>
      <sheetName val="®¬ngi¸"/>
      <sheetName val="dongle"/>
      <sheetName val="CT xa"/>
      <sheetName val="TLGC"/>
      <sheetName val="BL"/>
      <sheetName val="Thang 12"/>
      <sheetName val="Thang 1"/>
      <sheetName val="moi"/>
      <sheetName val="Thang 12 (2)"/>
      <sheetName val="Thang 01"/>
      <sheetName val="clvl"/>
      <sheetName val="Chenh lech"/>
      <sheetName val="Kinh phí"/>
      <sheetName val="TH mau moi tu T10"/>
      <sheetName val="Tong hop Quy IV"/>
      <sheetName val="Tong Thu"/>
      <sheetName val="Tong Chi"/>
      <sheetName val="Truong hoc"/>
      <sheetName val="Cty CP"/>
      <sheetName val="G.thau 3B"/>
      <sheetName val="T.Hop Thu-chi"/>
      <sheetName val="XN79"/>
      <sheetName val="CTMT"/>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tc"/>
      <sheetName val="TDT"/>
      <sheetName val="xl"/>
      <sheetName val="NN"/>
      <sheetName val="Tralaivay"/>
      <sheetName val="TBTN"/>
      <sheetName val="CPTV"/>
      <sheetName val="PCCHAY"/>
      <sheetName val="dtks"/>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
      <sheetName val="HTSD6LD"/>
      <sheetName val="HTSDDNN"/>
      <sheetName val="HTSDKT"/>
      <sheetName val="BD"/>
      <sheetName val="HTNT"/>
      <sheetName val="CHART"/>
      <sheetName val="HTDT"/>
      <sheetName val="HTSDD"/>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cong bien t10"/>
      <sheetName val="luong t9 "/>
      <sheetName val="bb t9"/>
      <sheetName val="XETT10-03"/>
      <sheetName val="bxet"/>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au 2(3)"/>
      <sheetName val="N1111"/>
      <sheetName val="C1111"/>
      <sheetName val="1121"/>
      <sheetName val="daura"/>
      <sheetName val="dauvao"/>
      <sheetName val="VAT TU NHAN TXQN"/>
      <sheetName val="bang tong ke khoi luong vat tu"/>
      <sheetName val="hcong tkhe"/>
      <sheetName val="VAT TU NHAN TKHE"/>
      <sheetName val="hcong qn"/>
      <sheetName val="VAT TU NHAN (2)"/>
      <sheetName val="C45T11"/>
      <sheetName val="C45 T10"/>
      <sheetName val="C47-t10"/>
      <sheetName val="C.Tinh"/>
      <sheetName val="TK_cap"/>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Hat 1"/>
      <sheetName val="H9Bson"/>
      <sheetName val=" H8 duong"/>
      <sheetName val="VP"/>
      <sheetName val="Hat 7dg"/>
      <sheetName val="TH duong 1B"/>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Dutoan"/>
      <sheetName val="congtac vien-uy"/>
      <sheetName val="Nhan luc2001"/>
      <sheetName val="Vattu2"/>
      <sheetName val="Vattu"/>
      <sheetName val="TK331A"/>
      <sheetName val="TK131B"/>
      <sheetName val="TK131A"/>
      <sheetName val="TK 331c1"/>
      <sheetName val="TK331C"/>
      <sheetName val="CT331-2003"/>
      <sheetName val="CT 331"/>
      <sheetName val="CT131-2003"/>
      <sheetName val="CT 131"/>
      <sheetName val="TK331B"/>
      <sheetName val="KH 200³ (moi max)"/>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T01"/>
      <sheetName val="T04"/>
      <sheetName val="T7"/>
      <sheetName val="T10"/>
      <sheetName val="T11"/>
      <sheetName val="T12"/>
      <sheetName val="VTCY13"/>
      <sheetName val="CLVL13"/>
      <sheetName val="QTC13"/>
      <sheetName val="THKLA10"/>
      <sheetName val="CongA10"/>
      <sheetName val="VTCYA10"/>
      <sheetName val="CLVLA10"/>
      <sheetName val="QTA10"/>
      <sheetName val="THKL1"/>
      <sheetName val="Cong1"/>
      <sheetName val="VTCY1"/>
      <sheetName val="CLVL1"/>
      <sheetName val="QTCC1"/>
      <sheetName val="D.Da0"/>
      <sheetName val="DTCT"/>
      <sheetName val="THVT"/>
      <sheetName val="THGT"/>
      <sheetName val="DTcojg 4-5"/>
      <sheetName val="Tojg hop thep"/>
      <sheetName val="DGXDCB"/>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TIEN"/>
      <sheetName val="PHUONG"/>
      <sheetName val="ANH"/>
      <sheetName val="HUYNH"/>
      <sheetName val="TONKHO"/>
      <sheetName val="BANLE"/>
      <sheetName val="NHAPKHO"/>
      <sheetName val="KTCB"/>
      <sheetName val="PXL+TB"/>
      <sheetName val="MLDV"/>
      <sheetName val="catongcu"/>
      <sheetName val="BC"/>
      <sheetName val="NNCONGNHAN"/>
      <sheetName val="bangtonghop"/>
      <sheetName val="B T HOP"/>
      <sheetName val="HT HE DUONG"/>
      <sheetName val="MLPP"/>
      <sheetName val="DH D1,2"/>
      <sheetName val="Tro giup"/>
      <sheetName val="CT 03"/>
      <sheetName val="TH 03"/>
      <sheetName val="GDTL cong D40"/>
      <sheetName val="THKPcong D40"/>
      <sheetName val="GDTran gieng"/>
      <sheetName val="THKPtran gieng"/>
      <sheetName val="XD"/>
      <sheetName val="THDT (2)"/>
      <sheetName val="DB (2)"/>
      <sheetName val="THTke"/>
      <sheetName val="DGTLdap dat (3)"/>
      <sheetName val="TM Du toan"/>
      <sheetName val="THKP dap chinh (3)"/>
      <sheetName val="@.Dap"/>
      <sheetName val="pt0-1"/>
      <sheetName val="Cong doan"/>
      <sheetName val="A"/>
      <sheetName val="PTS䁌"/>
      <sheetName val="SILICATE"/>
      <sheetName val="T1"/>
      <sheetName val="MD03-4"/>
      <sheetName val="XE DA("/>
      <sheetName val="Du toan"/>
      <sheetName val="Phan tich vat tu"/>
      <sheetName val="Tong hop vat tu"/>
      <sheetName val="Gia tri vat tu"/>
      <sheetName val="Chenh lech vat tu"/>
      <sheetName val="Chi phi van chuyen"/>
      <sheetName val="Don gia chi tiet"/>
      <sheetName val="Du thau"/>
      <sheetName val="QUY TM 2004 (3)"/>
      <sheetName val="QUY TM 2004 (2)"/>
      <sheetName val="SO CAI 2004 TK 111 (2)"/>
      <sheetName val="CTGS N111 (2)"/>
      <sheetName val="Can doi TK (2)"/>
      <sheetName val="CTGS Co 111"/>
      <sheetName val="Bang "/>
      <sheetName val="So TGNH  (2)"/>
      <sheetName val="N 111"/>
      <sheetName val="Sheet1 (3)"/>
      <sheetName val="C 111"/>
      <sheetName val="KD Theo YTo"/>
      <sheetName val="Tang giam TSCD"/>
      <sheetName val="TK Ngoai bang"/>
      <sheetName val="TMinh BC TC"/>
      <sheetName val="Can doi TK"/>
      <sheetName val="BCD KToan"/>
      <sheetName val="So TGNH "/>
      <sheetName val="SO CAI TK 112"/>
      <sheetName val="SO CAI 2004 TK 111"/>
      <sheetName val="Tien Vay 311"/>
      <sheetName val="DTCTiet"/>
      <sheetName val="DT BH"/>
      <sheetName val="So QTM 2005"/>
      <sheetName val="QUY TM 2004"/>
      <sheetName val="tuan"/>
      <sheetName val="Phan tich don gia (doc)"/>
      <sheetName val="PIPE-03E.XLS"/>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BKE CT GOC"/>
      <sheetName val="BK-CT"/>
      <sheetName val="CTGS10"/>
      <sheetName val="BKE CT GOC (2)"/>
      <sheetName val="CTGS10 (2)"/>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REF"/>
      <sheetName val="B01b"/>
      <sheetName val="B01a"/>
      <sheetName val="B03a"/>
      <sheetName val="B03b"/>
      <sheetName val="B5"/>
      <sheetName val="B8,1"/>
      <sheetName val="B6b"/>
      <sheetName val="B4a"/>
      <sheetName val="B4b"/>
      <sheetName val="Van chtyen"/>
      <sheetName val="DS dang ky thi dua 2005"/>
      <sheetName val="DS khen thuong2004"/>
      <sheetName val="quy bao lu 05"/>
      <sheetName val="VT co phuong"/>
      <sheetName val="Da hai"/>
      <sheetName val="VT A ma"/>
      <sheetName val="VT van ho"/>
      <sheetName val="Son A Ma"/>
      <sheetName val="Son Co Ph"/>
      <sheetName val="Mau giao"/>
      <sheetName val="TT TH"/>
      <sheetName val="vat lieu tan hoat"/>
      <sheetName val="KL tonࡧ"/>
      <sheetName val="T2"/>
      <sheetName val="T3"/>
      <sheetName val="T4"/>
      <sheetName val="T5"/>
      <sheetName val="t6"/>
      <sheetName val="T8"/>
      <sheetName val="T9"/>
      <sheetName val="11"/>
      <sheetName val="THop"/>
      <sheetName val="huy dong von"/>
      <sheetName val="Lai vayxd"/>
      <sheetName val="Lai vayphaitra"/>
      <sheetName val="Lai vay "/>
      <sheetName val="tra von"/>
      <sheetName val="KH chi tiet"/>
      <sheetName val="nguyen lieu"/>
      <sheetName val="THGTXL"/>
      <sheetName val="Kenh"/>
      <sheetName val="BVCkenh"/>
      <sheetName val="THKenh"/>
      <sheetName val="congn140"/>
      <sheetName val="BVCc40"/>
      <sheetName val="cong30"/>
      <sheetName val="BVCcong30"/>
      <sheetName val="congQD"/>
      <sheetName val="BVCCQD"/>
      <sheetName val="tran"/>
      <sheetName val="Bvctran"/>
      <sheetName val="Ca.D"/>
      <sheetName val="Congt}"/>
      <sheetName val="bang ke nop`thue"/>
      <sheetName val="TK 911"/>
      <sheetName val="Tong hop kinh phi"/>
      <sheetName val="QT Duoc (Hai)"/>
      <sheetName val="Cua"/>
      <sheetName val="NS"/>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K 711"/>
      <sheetName val="TK 632"/>
      <sheetName val="TK642"/>
      <sheetName val="TK627"/>
      <sheetName val="TK623"/>
      <sheetName val="TK622"/>
      <sheetName val="TK621"/>
      <sheetName val="Chi tiet 511"/>
      <sheetName val="TK 511"/>
      <sheetName val="TK421"/>
      <sheetName val="TK411"/>
      <sheetName val="TK 342 ( thue T.C )"/>
      <sheetName val="TK338"/>
      <sheetName val="Phat sinh 2005"/>
      <sheetName val="TK333"/>
      <sheetName val="TK 341vay dai han "/>
      <sheetName val="TK 214"/>
      <sheetName val="TK 212"/>
      <sheetName val="Chi tiet TK 211"/>
      <sheetName val="TK 211"/>
      <sheetName val="TK 154"/>
      <sheetName val="Chi tiet TK 152"/>
      <sheetName val="TK 152"/>
      <sheetName val="Chung tu ghi so "/>
      <sheetName val="TK 142"/>
      <sheetName val="TK 141"/>
      <sheetName val="TK 133"/>
      <sheetName val="Chi tiet TK131"/>
      <sheetName val="TK 131"/>
      <sheetName val="TK 112"/>
      <sheetName val="TK 111"/>
      <sheetName val="Phieu thu"/>
      <sheetName val="Phieu chi "/>
      <sheetName val="Phieu nhap VTu "/>
      <sheetName val="Phieu xuat VTu"/>
      <sheetName val="Can doi vat tu nhap xuat "/>
      <sheetName val="Vat tu nhapxuat nam 2005"/>
      <sheetName val="Ca may can dung nam 2005"/>
      <sheetName val="Vat Tu can cho CT nam 2005"/>
      <sheetName val="HD thu mua hang NLS "/>
      <sheetName val="HD thu mua cat soi "/>
      <sheetName val="TLy HD mua ban "/>
      <sheetName val="CTTSCD"/>
      <sheetName val="TSCD ko dung"/>
      <sheetName val="Tong vat tu"/>
      <sheetName val="VT luu"/>
      <sheetName val="VTu1"/>
      <sheetName val="Vtu u dong"/>
      <sheetName val="TSLD khac"/>
      <sheetName val="CC da pbo het"/>
      <sheetName val="Phaitra"/>
      <sheetName val="TD_x0000_"/>
      <sheetName val="TDÕ"/>
      <sheetName val="CQuan"/>
      <sheetName val="CAU 1"/>
      <sheetName val="CAU3"/>
      <sheetName val="CAU5 A Thu"/>
      <sheetName val="yen lenh"/>
      <sheetName val="CAU5"/>
      <sheetName val="CAU5 (1+2)"/>
      <sheetName val="CAU 7 (O Hien)"/>
      <sheetName val="CAU 7"/>
      <sheetName val="CKCT"/>
      <sheetName val="TCCG ( NH)"/>
      <sheetName val="TCCG"/>
      <sheetName val="Cau 9"/>
      <sheetName val="Cau 11"/>
      <sheetName val="480"/>
      <sheetName val="TD@"/>
      <sheetName val="\MGT-DRT\MGT-IMPR\MGT-SC@\BA039"/>
      <sheetName val="\N\MGT-DRT\MGT-IMPR\MGT-SC@\BA0"/>
      <sheetName val="Cong hoþ"/>
      <sheetName val="28+!60-28+420.5K95"/>
      <sheetName val="Thi sinh"/>
      <sheetName val="SPS"/>
      <sheetName val="DSNV"/>
      <sheetName val="Cham cong"/>
      <sheetName val="Bang luong"/>
      <sheetName val="LCB"/>
      <sheetName val="CN131"/>
      <sheetName val="STH 152"/>
      <sheetName val="CN 331"/>
      <sheetName val="VLSPHH"/>
      <sheetName val="DVKH"/>
      <sheetName val="Kho"/>
      <sheetName val="THDN MBA phu tai"/>
      <sheetName val="TBA CC"/>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hoan von"/>
      <sheetName val="dothi npv"/>
      <sheetName val="diem hoa von"/>
      <sheetName val="nop ngan sach"/>
      <sheetName val="chi tieu"/>
      <sheetName val="luong thang 10"/>
      <sheetName val="tong hop thang 10"/>
      <sheetName val="loung11"/>
      <sheetName val="TH 11"/>
      <sheetName val="T122"/>
      <sheetName val="T121"/>
      <sheetName val="px khai thac 2"/>
      <sheetName val="dao lo so 2"/>
      <sheetName val="luong vp thang 10"/>
      <sheetName val="T_x0003__x0000_ong dip nhan danh hieu AHL§"/>
      <sheetName val="kp0-1"/>
      <sheetName val="0-1"/>
      <sheetName val="pt2-3"/>
      <sheetName val="thkp2-3"/>
      <sheetName val="2-3"/>
      <sheetName val="cl1-2"/>
      <sheetName val="thkp1-2"/>
      <sheetName val="clvl1-2"/>
      <sheetName val="1-2"/>
      <sheetName val="26+960-27+050.9"/>
      <sheetName val="Chung tu"/>
      <sheetName val="So cai"/>
      <sheetName val="Can doi"/>
      <sheetName val="Phat sinh"/>
      <sheetName val="XXXXXXX_x0018_"/>
      <sheetName val="UBi"/>
      <sheetName val="2ÿÿ960-ÿÿ+1ÿÿÿÿ(k95)"/>
      <sheetName val="[PIPE-03E.XLSÝ26+960-27+150.4(k"/>
      <sheetName val="Tong hop gia"/>
      <sheetName val="May thi cong"/>
      <sheetName val="Chi phi chung"/>
      <sheetName val="Config"/>
      <sheetName val="_x0002__x0001_"/>
      <sheetName val="_x0000__x0000__x0005__x0000_"/>
      <sheetName val="ten"/>
      <sheetName val="nphuo"/>
      <sheetName val="28+160-&quot;8+420,17Top"/>
      <sheetName val="KHo152"/>
      <sheetName val="Kho153"/>
      <sheetName val="LUU"/>
      <sheetName val="BAONO"/>
      <sheetName val="BAONOCHUAXONG"/>
      <sheetName val="PHI"/>
      <sheetName val="Muavao6"/>
      <sheetName val="Muavao7"/>
      <sheetName val="DMCP"/>
      <sheetName val="khen thuong (2)"/>
      <sheetName val="khen thuong"/>
      <sheetName val="Thuong"/>
      <sheetName val="San luong"/>
      <sheetName val="Thu nhap"/>
      <sheetName val="DGCT1"/>
      <sheetName val="Tu van Thiet ke"/>
      <sheetName val="Tien do thi cong"/>
      <sheetName val="Bia du toan"/>
      <sheetName val="Aug-10(D)"/>
      <sheetName val="Data input"/>
      <sheetName val="Data"/>
      <sheetName val="Group"/>
      <sheetName val="Loading"/>
      <sheetName val="Cong n_x0000_"/>
      <sheetName val="TDþ"/>
      <sheetName val="BU13-_x0003__x0000_+"/>
      <sheetName val="gvl"/>
      <sheetName val="clv¸"/>
      <sheetName val="B01þ"/>
      <sheetName val="B-B"/>
    </sheetNames>
    <definedNames>
      <definedName name="DataFilter"/>
      <definedName name="DataSort"/>
      <definedName name="GoBack" sheetId="13"/>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efreshError="1"/>
      <sheetData sheetId="1132"/>
      <sheetData sheetId="1133" refreshError="1"/>
      <sheetData sheetId="1134" refreshError="1"/>
      <sheetData sheetId="1135" refreshError="1"/>
      <sheetData sheetId="1136"/>
      <sheetData sheetId="1137"/>
      <sheetData sheetId="1138"/>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sheetData sheetId="1154"/>
      <sheetData sheetId="1155"/>
      <sheetData sheetId="1156"/>
      <sheetData sheetId="1157"/>
      <sheetData sheetId="1158"/>
      <sheetData sheetId="1159"/>
      <sheetData sheetId="1160"/>
      <sheetData sheetId="1161" refreshError="1"/>
      <sheetData sheetId="1162"/>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sheetData sheetId="1192"/>
      <sheetData sheetId="1193"/>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refreshError="1"/>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refreshError="1"/>
      <sheetData sheetId="1316" refreshError="1"/>
      <sheetData sheetId="1317" refreshError="1"/>
      <sheetData sheetId="1318" refreshError="1"/>
      <sheetData sheetId="1319" refreshError="1"/>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refreshError="1"/>
      <sheetData sheetId="1367" refreshError="1"/>
      <sheetData sheetId="1368" refreshError="1"/>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sheetData sheetId="1385"/>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DT_THAU (2)"/>
      <sheetName val="KP_THAU (2)"/>
      <sheetName val="DGVL (2)"/>
      <sheetName val="TH_GIA THAU"/>
      <sheetName val="KP_THAU"/>
      <sheetName val="KPBSVL"/>
      <sheetName val="KPBSNCXM"/>
      <sheetName val="KPBSNL"/>
      <sheetName val="DTCT_THAU"/>
      <sheetName val="DT_THAU"/>
      <sheetName val="GIA_VL"/>
      <sheetName val="DGVL"/>
      <sheetName val="VCVL"/>
      <sheetName val="BOCDO"/>
      <sheetName val="GIAXM"/>
      <sheetName val="YCVL"/>
      <sheetName val="TKVL"/>
      <sheetName val="YCXM"/>
      <sheetName val="TKXM"/>
      <sheetName val="PTCLVL"/>
      <sheetName val="BUCLVL"/>
      <sheetName val="PTCLNL"/>
      <sheetName val="BUCLN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19">
          <cell r="M19">
            <v>201139</v>
          </cell>
        </row>
        <row r="199">
          <cell r="M199">
            <v>12514589</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DT_THAU (2)"/>
      <sheetName val="KP_THAU (2)"/>
      <sheetName val="DGVL (2)"/>
      <sheetName val="TH_GIA THAU"/>
      <sheetName val="KP_THAU"/>
      <sheetName val="KPBSVL"/>
      <sheetName val="KPBSNCXM"/>
      <sheetName val="KPBSNL"/>
      <sheetName val="DTCT_THAU"/>
      <sheetName val="DT_THAU"/>
      <sheetName val="GIA_VL"/>
      <sheetName val="DGVL"/>
      <sheetName val="VCVL"/>
      <sheetName val="BOCDO"/>
      <sheetName val="GIAXM"/>
      <sheetName val="YCVL"/>
      <sheetName val="TKVL"/>
      <sheetName val="YCXM"/>
      <sheetName val="TKXM"/>
      <sheetName val="PTCLVL"/>
      <sheetName val="BUCLVL"/>
      <sheetName val="PTCLNL"/>
      <sheetName val="BUCLN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19">
          <cell r="M19">
            <v>201139</v>
          </cell>
        </row>
        <row r="40">
          <cell r="M40">
            <v>1506148</v>
          </cell>
        </row>
        <row r="56">
          <cell r="M56">
            <v>5856</v>
          </cell>
        </row>
        <row r="76">
          <cell r="M76">
            <v>22673138</v>
          </cell>
        </row>
        <row r="95">
          <cell r="M95">
            <v>1879188</v>
          </cell>
        </row>
        <row r="115">
          <cell r="M115">
            <v>1247673</v>
          </cell>
        </row>
        <row r="131">
          <cell r="M131">
            <v>102883</v>
          </cell>
        </row>
        <row r="153">
          <cell r="M153">
            <v>13859921</v>
          </cell>
        </row>
        <row r="179">
          <cell r="M179">
            <v>80175803</v>
          </cell>
        </row>
        <row r="218">
          <cell r="M218">
            <v>597093</v>
          </cell>
        </row>
        <row r="247">
          <cell r="M247">
            <v>2123210</v>
          </cell>
        </row>
        <row r="267">
          <cell r="M267">
            <v>1247673</v>
          </cell>
        </row>
        <row r="283">
          <cell r="M283">
            <v>102883</v>
          </cell>
        </row>
        <row r="305">
          <cell r="M305">
            <v>13859921</v>
          </cell>
        </row>
        <row r="324">
          <cell r="M324">
            <v>597093</v>
          </cell>
        </row>
        <row r="353">
          <cell r="M353">
            <v>2035118</v>
          </cell>
        </row>
        <row r="369">
          <cell r="M369">
            <v>251955</v>
          </cell>
        </row>
        <row r="394">
          <cell r="M394">
            <v>1631059</v>
          </cell>
        </row>
        <row r="416">
          <cell r="M416">
            <v>16868129</v>
          </cell>
        </row>
        <row r="437">
          <cell r="M437">
            <v>201803</v>
          </cell>
        </row>
        <row r="453">
          <cell r="M453">
            <v>443548</v>
          </cell>
        </row>
        <row r="469">
          <cell r="M469">
            <v>443548</v>
          </cell>
        </row>
        <row r="489">
          <cell r="M489">
            <v>3985136</v>
          </cell>
        </row>
        <row r="505">
          <cell r="M505">
            <v>17944</v>
          </cell>
        </row>
        <row r="521">
          <cell r="M521">
            <v>17001</v>
          </cell>
        </row>
        <row r="547">
          <cell r="M547">
            <v>1756398</v>
          </cell>
        </row>
        <row r="571">
          <cell r="M571">
            <v>7012436</v>
          </cell>
        </row>
        <row r="589">
          <cell r="M589">
            <v>84184</v>
          </cell>
        </row>
        <row r="605">
          <cell r="M605">
            <v>61834</v>
          </cell>
        </row>
        <row r="621">
          <cell r="M621">
            <v>251955</v>
          </cell>
        </row>
        <row r="646">
          <cell r="M646">
            <v>1631059</v>
          </cell>
        </row>
        <row r="668">
          <cell r="M668">
            <v>16868129</v>
          </cell>
        </row>
        <row r="684">
          <cell r="M684">
            <v>201139</v>
          </cell>
        </row>
        <row r="705">
          <cell r="M705">
            <v>1506148</v>
          </cell>
        </row>
        <row r="721">
          <cell r="M721">
            <v>5856</v>
          </cell>
        </row>
        <row r="741">
          <cell r="M741">
            <v>22673138</v>
          </cell>
        </row>
        <row r="760">
          <cell r="M760">
            <v>876489</v>
          </cell>
        </row>
        <row r="779">
          <cell r="M779">
            <v>1879188</v>
          </cell>
        </row>
        <row r="799">
          <cell r="M799">
            <v>1247673</v>
          </cell>
        </row>
        <row r="815">
          <cell r="M815">
            <v>102883</v>
          </cell>
        </row>
        <row r="837">
          <cell r="M837">
            <v>13859921</v>
          </cell>
        </row>
        <row r="863">
          <cell r="M863">
            <v>80175803</v>
          </cell>
        </row>
        <row r="883">
          <cell r="M883">
            <v>12514589</v>
          </cell>
        </row>
        <row r="902">
          <cell r="M902">
            <v>597093</v>
          </cell>
        </row>
        <row r="931">
          <cell r="M931">
            <v>2035118</v>
          </cell>
        </row>
        <row r="951">
          <cell r="M951">
            <v>1247673</v>
          </cell>
        </row>
        <row r="967">
          <cell r="M967">
            <v>102883</v>
          </cell>
        </row>
        <row r="989">
          <cell r="M989">
            <v>13859921</v>
          </cell>
        </row>
        <row r="1008">
          <cell r="M1008">
            <v>597093</v>
          </cell>
        </row>
        <row r="1037">
          <cell r="M1037">
            <v>2035118</v>
          </cell>
        </row>
        <row r="1053">
          <cell r="M1053">
            <v>251955</v>
          </cell>
        </row>
        <row r="1078">
          <cell r="M1078">
            <v>1631059</v>
          </cell>
        </row>
        <row r="1100">
          <cell r="M1100">
            <v>16868129</v>
          </cell>
        </row>
        <row r="1121">
          <cell r="M1121">
            <v>201803</v>
          </cell>
        </row>
        <row r="1137">
          <cell r="M1137">
            <v>443548</v>
          </cell>
        </row>
        <row r="1157">
          <cell r="M1157">
            <v>3985136</v>
          </cell>
        </row>
        <row r="1173">
          <cell r="M1173">
            <v>17944</v>
          </cell>
        </row>
        <row r="1189">
          <cell r="M1189">
            <v>17001</v>
          </cell>
        </row>
        <row r="1215">
          <cell r="M1215">
            <v>1756398</v>
          </cell>
        </row>
        <row r="1239">
          <cell r="M1239">
            <v>7012436</v>
          </cell>
        </row>
        <row r="1257">
          <cell r="M1257">
            <v>84184</v>
          </cell>
        </row>
        <row r="1273">
          <cell r="M1273">
            <v>61834</v>
          </cell>
        </row>
        <row r="1289">
          <cell r="M1289">
            <v>251955</v>
          </cell>
        </row>
        <row r="1314">
          <cell r="M1314">
            <v>1631059</v>
          </cell>
        </row>
        <row r="1336">
          <cell r="M1336">
            <v>16868129</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DGVL (2)"/>
      <sheetName val="TH_GIA THAU"/>
      <sheetName val="KP_THAU"/>
      <sheetName val="KPBSVL"/>
      <sheetName val="KPBSNCXM"/>
      <sheetName val="KPBSNL"/>
      <sheetName val="DTCT_THAU"/>
      <sheetName val="KP_THAU (BO SUNG)"/>
      <sheetName val="DT_THAU(BS)"/>
      <sheetName val="DGVL_DT"/>
      <sheetName val="GIAXM"/>
      <sheetName val="DGVL"/>
      <sheetName val="VCVL"/>
      <sheetName val="BOCDO"/>
      <sheetName val="YCVL"/>
      <sheetName val="TKVL"/>
      <sheetName val="YCXM"/>
      <sheetName val="TKXM"/>
      <sheetName val="PTCLVL"/>
      <sheetName val="BUCLVL"/>
      <sheetName val="PTCLNL"/>
      <sheetName val="BUCLNL"/>
    </sheetNames>
    <sheetDataSet>
      <sheetData sheetId="0" refreshError="1"/>
      <sheetData sheetId="1"/>
      <sheetData sheetId="2"/>
      <sheetData sheetId="3" refreshError="1"/>
      <sheetData sheetId="4" refreshError="1"/>
      <sheetData sheetId="5" refreshError="1"/>
      <sheetData sheetId="6" refreshError="1"/>
      <sheetData sheetId="7"/>
      <sheetData sheetId="8">
        <row r="20">
          <cell r="M20">
            <v>201139</v>
          </cell>
        </row>
        <row r="3603">
          <cell r="M3603">
            <v>2206859</v>
          </cell>
        </row>
        <row r="3630">
          <cell r="M3630">
            <v>16632965</v>
          </cell>
        </row>
        <row r="3656">
          <cell r="M3656">
            <v>2619146</v>
          </cell>
        </row>
        <row r="3677">
          <cell r="M3677">
            <v>5114695</v>
          </cell>
        </row>
        <row r="3704">
          <cell r="M3704">
            <v>2132892</v>
          </cell>
        </row>
        <row r="3724">
          <cell r="M3724">
            <v>21556006</v>
          </cell>
        </row>
        <row r="3752">
          <cell r="M3752">
            <v>14235101</v>
          </cell>
        </row>
        <row r="3769">
          <cell r="M3769">
            <v>18779</v>
          </cell>
        </row>
        <row r="3792">
          <cell r="M3792">
            <v>5386671</v>
          </cell>
        </row>
        <row r="3814">
          <cell r="M3814">
            <v>4252303</v>
          </cell>
        </row>
        <row r="3831">
          <cell r="M3831">
            <v>19105</v>
          </cell>
        </row>
        <row r="3848">
          <cell r="M3848">
            <v>17643</v>
          </cell>
        </row>
        <row r="3865">
          <cell r="M3865">
            <v>19010</v>
          </cell>
        </row>
        <row r="3882">
          <cell r="M3882">
            <v>14175</v>
          </cell>
        </row>
        <row r="3901">
          <cell r="M3901">
            <v>1520319</v>
          </cell>
        </row>
        <row r="3921">
          <cell r="M3921">
            <v>42357</v>
          </cell>
        </row>
        <row r="3942">
          <cell r="M3942">
            <v>4313514</v>
          </cell>
        </row>
        <row r="3959">
          <cell r="M3959">
            <v>19105</v>
          </cell>
        </row>
        <row r="3976">
          <cell r="M3976">
            <v>17643</v>
          </cell>
        </row>
        <row r="4002">
          <cell r="M4002">
            <v>2619146</v>
          </cell>
        </row>
        <row r="4029">
          <cell r="M4029">
            <v>17121480</v>
          </cell>
        </row>
        <row r="4049">
          <cell r="M4049">
            <v>42357</v>
          </cell>
        </row>
        <row r="4070">
          <cell r="M4070">
            <v>4154062</v>
          </cell>
        </row>
        <row r="4087">
          <cell r="M4087">
            <v>19105</v>
          </cell>
        </row>
        <row r="4104">
          <cell r="M4104">
            <v>17643</v>
          </cell>
        </row>
        <row r="4129">
          <cell r="M4129">
            <v>1883158</v>
          </cell>
        </row>
        <row r="4154">
          <cell r="M4154">
            <v>7742171</v>
          </cell>
        </row>
        <row r="4176">
          <cell r="M4176">
            <v>43476</v>
          </cell>
        </row>
        <row r="4198">
          <cell r="M4198">
            <v>72458</v>
          </cell>
        </row>
        <row r="4215">
          <cell r="M4215">
            <v>1520736</v>
          </cell>
        </row>
        <row r="4232">
          <cell r="M4232">
            <v>19010</v>
          </cell>
        </row>
        <row r="4249">
          <cell r="M4249">
            <v>443818</v>
          </cell>
        </row>
        <row r="4272">
          <cell r="M4272">
            <v>42943693</v>
          </cell>
        </row>
        <row r="4295">
          <cell r="M4295">
            <v>32207772</v>
          </cell>
        </row>
        <row r="4312">
          <cell r="M4312">
            <v>1216</v>
          </cell>
        </row>
        <row r="4340">
          <cell r="M4340">
            <v>6822349</v>
          </cell>
        </row>
        <row r="4367">
          <cell r="M4367">
            <v>3901800</v>
          </cell>
        </row>
        <row r="4384">
          <cell r="M4384">
            <v>2464</v>
          </cell>
        </row>
        <row r="4406">
          <cell r="M4406">
            <v>12435501</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Bang KL"/>
      <sheetName val="Phan tich"/>
      <sheetName val="TH Vat tu"/>
      <sheetName val="VCBo"/>
      <sheetName val="VCThuy"/>
      <sheetName val="BocXep"/>
      <sheetName val="TH N.Cong"/>
      <sheetName val="TH MTC"/>
      <sheetName val="Thiet Bi"/>
      <sheetName val="TH Kinh phi"/>
      <sheetName val="TinhGiaNC"/>
      <sheetName val="TinhGiaMTC"/>
      <sheetName val="DMCP"/>
    </sheetNames>
    <sheetDataSet>
      <sheetData sheetId="0" refreshError="1">
        <row r="6">
          <cell r="G6" t="str">
            <v>TT</v>
          </cell>
        </row>
        <row r="7">
          <cell r="G7" t="str">
            <v>I</v>
          </cell>
        </row>
        <row r="9">
          <cell r="G9">
            <v>1</v>
          </cell>
        </row>
        <row r="11">
          <cell r="G11">
            <v>2</v>
          </cell>
        </row>
        <row r="13">
          <cell r="G13">
            <v>3</v>
          </cell>
        </row>
        <row r="14">
          <cell r="G14">
            <v>4</v>
          </cell>
        </row>
        <row r="15">
          <cell r="G15">
            <v>5</v>
          </cell>
        </row>
        <row r="16">
          <cell r="G16">
            <v>6</v>
          </cell>
        </row>
        <row r="17">
          <cell r="G17">
            <v>7</v>
          </cell>
        </row>
        <row r="18">
          <cell r="G18">
            <v>8</v>
          </cell>
        </row>
        <row r="19">
          <cell r="G19">
            <v>9</v>
          </cell>
        </row>
        <row r="20">
          <cell r="G20">
            <v>10</v>
          </cell>
        </row>
        <row r="21">
          <cell r="G21">
            <v>11</v>
          </cell>
        </row>
        <row r="22">
          <cell r="G22">
            <v>12</v>
          </cell>
        </row>
        <row r="23">
          <cell r="G23">
            <v>13</v>
          </cell>
        </row>
        <row r="24">
          <cell r="G24">
            <v>14</v>
          </cell>
        </row>
        <row r="25">
          <cell r="G25">
            <v>15</v>
          </cell>
        </row>
        <row r="26">
          <cell r="G26">
            <v>16</v>
          </cell>
        </row>
        <row r="27">
          <cell r="G27">
            <v>17</v>
          </cell>
        </row>
        <row r="28">
          <cell r="G28">
            <v>18</v>
          </cell>
        </row>
        <row r="29">
          <cell r="G29">
            <v>19</v>
          </cell>
        </row>
        <row r="30">
          <cell r="G30">
            <v>20</v>
          </cell>
        </row>
        <row r="31">
          <cell r="G31">
            <v>21</v>
          </cell>
        </row>
        <row r="32">
          <cell r="G32">
            <v>22</v>
          </cell>
        </row>
        <row r="33">
          <cell r="G33">
            <v>23</v>
          </cell>
        </row>
        <row r="34">
          <cell r="G34">
            <v>24</v>
          </cell>
        </row>
        <row r="35">
          <cell r="G35">
            <v>25</v>
          </cell>
        </row>
        <row r="36">
          <cell r="G36">
            <v>26</v>
          </cell>
        </row>
        <row r="37">
          <cell r="G37">
            <v>27</v>
          </cell>
        </row>
        <row r="38">
          <cell r="G38">
            <v>28</v>
          </cell>
        </row>
        <row r="39">
          <cell r="G39">
            <v>29</v>
          </cell>
        </row>
        <row r="40">
          <cell r="G40">
            <v>30</v>
          </cell>
        </row>
        <row r="41">
          <cell r="G41">
            <v>31</v>
          </cell>
        </row>
        <row r="42">
          <cell r="G42">
            <v>32</v>
          </cell>
        </row>
        <row r="43">
          <cell r="G43">
            <v>33</v>
          </cell>
        </row>
        <row r="44">
          <cell r="G44">
            <v>34</v>
          </cell>
        </row>
        <row r="45">
          <cell r="G45">
            <v>35</v>
          </cell>
        </row>
        <row r="46">
          <cell r="G46">
            <v>36</v>
          </cell>
        </row>
        <row r="47">
          <cell r="G47">
            <v>37</v>
          </cell>
        </row>
        <row r="48">
          <cell r="G48">
            <v>38</v>
          </cell>
        </row>
        <row r="49">
          <cell r="G49">
            <v>39</v>
          </cell>
        </row>
        <row r="50">
          <cell r="G50">
            <v>40</v>
          </cell>
        </row>
        <row r="51">
          <cell r="G51">
            <v>41</v>
          </cell>
        </row>
        <row r="52">
          <cell r="G52">
            <v>42</v>
          </cell>
        </row>
        <row r="53">
          <cell r="G53">
            <v>43</v>
          </cell>
        </row>
        <row r="54">
          <cell r="G54">
            <v>44</v>
          </cell>
        </row>
        <row r="55">
          <cell r="G55">
            <v>45</v>
          </cell>
        </row>
        <row r="56">
          <cell r="G56">
            <v>46</v>
          </cell>
        </row>
        <row r="57">
          <cell r="G57">
            <v>47</v>
          </cell>
        </row>
        <row r="58">
          <cell r="G58">
            <v>48</v>
          </cell>
        </row>
        <row r="59">
          <cell r="G59">
            <v>49</v>
          </cell>
        </row>
        <row r="60">
          <cell r="G60">
            <v>50</v>
          </cell>
        </row>
        <row r="61">
          <cell r="G61">
            <v>51</v>
          </cell>
        </row>
        <row r="62">
          <cell r="G62">
            <v>52</v>
          </cell>
        </row>
        <row r="63">
          <cell r="G63">
            <v>53</v>
          </cell>
        </row>
        <row r="64">
          <cell r="G64">
            <v>54</v>
          </cell>
        </row>
        <row r="65">
          <cell r="G65">
            <v>55</v>
          </cell>
        </row>
        <row r="66">
          <cell r="G66">
            <v>56</v>
          </cell>
        </row>
        <row r="67">
          <cell r="G67">
            <v>57</v>
          </cell>
        </row>
        <row r="68">
          <cell r="G68">
            <v>58</v>
          </cell>
        </row>
        <row r="69">
          <cell r="G69">
            <v>59</v>
          </cell>
        </row>
        <row r="70">
          <cell r="G70">
            <v>60</v>
          </cell>
        </row>
        <row r="71">
          <cell r="G71">
            <v>61</v>
          </cell>
        </row>
        <row r="72">
          <cell r="G72">
            <v>62</v>
          </cell>
        </row>
        <row r="73">
          <cell r="G73">
            <v>63</v>
          </cell>
        </row>
        <row r="74">
          <cell r="G74">
            <v>64</v>
          </cell>
        </row>
        <row r="75">
          <cell r="G75">
            <v>65</v>
          </cell>
        </row>
        <row r="76">
          <cell r="G76">
            <v>66</v>
          </cell>
        </row>
        <row r="77">
          <cell r="G77">
            <v>67</v>
          </cell>
        </row>
        <row r="78">
          <cell r="G78">
            <v>68</v>
          </cell>
        </row>
        <row r="79">
          <cell r="G79">
            <v>69</v>
          </cell>
        </row>
        <row r="80">
          <cell r="G80">
            <v>70</v>
          </cell>
        </row>
        <row r="81">
          <cell r="G81">
            <v>71</v>
          </cell>
        </row>
        <row r="82">
          <cell r="G82">
            <v>72</v>
          </cell>
        </row>
        <row r="83">
          <cell r="G83">
            <v>73</v>
          </cell>
        </row>
        <row r="84">
          <cell r="G84">
            <v>74</v>
          </cell>
        </row>
        <row r="85">
          <cell r="G85">
            <v>75</v>
          </cell>
        </row>
        <row r="86">
          <cell r="G86">
            <v>76</v>
          </cell>
        </row>
        <row r="87">
          <cell r="G87">
            <v>77</v>
          </cell>
        </row>
        <row r="88">
          <cell r="G88">
            <v>78</v>
          </cell>
        </row>
        <row r="89">
          <cell r="G89">
            <v>79</v>
          </cell>
        </row>
        <row r="92">
          <cell r="G92">
            <v>80</v>
          </cell>
        </row>
        <row r="93">
          <cell r="G93">
            <v>81</v>
          </cell>
        </row>
        <row r="94">
          <cell r="G94">
            <v>82</v>
          </cell>
        </row>
        <row r="95">
          <cell r="G95">
            <v>83</v>
          </cell>
        </row>
        <row r="96">
          <cell r="G96">
            <v>84</v>
          </cell>
        </row>
        <row r="97">
          <cell r="G97">
            <v>85</v>
          </cell>
        </row>
        <row r="98">
          <cell r="G98">
            <v>86</v>
          </cell>
        </row>
        <row r="99">
          <cell r="G99">
            <v>87</v>
          </cell>
        </row>
        <row r="100">
          <cell r="G100">
            <v>88</v>
          </cell>
        </row>
        <row r="102">
          <cell r="G102">
            <v>89</v>
          </cell>
        </row>
        <row r="103">
          <cell r="G103">
            <v>90</v>
          </cell>
        </row>
        <row r="104">
          <cell r="G104">
            <v>91</v>
          </cell>
        </row>
        <row r="105">
          <cell r="G105">
            <v>92</v>
          </cell>
        </row>
        <row r="107">
          <cell r="G107">
            <v>93</v>
          </cell>
        </row>
        <row r="108">
          <cell r="G108">
            <v>94</v>
          </cell>
        </row>
        <row r="109">
          <cell r="G109">
            <v>95</v>
          </cell>
        </row>
        <row r="110">
          <cell r="G110">
            <v>96</v>
          </cell>
        </row>
        <row r="111">
          <cell r="G111">
            <v>97</v>
          </cell>
        </row>
        <row r="112">
          <cell r="G112">
            <v>98</v>
          </cell>
        </row>
        <row r="113">
          <cell r="G113">
            <v>99</v>
          </cell>
        </row>
        <row r="114">
          <cell r="G114">
            <v>100</v>
          </cell>
        </row>
        <row r="115">
          <cell r="G115">
            <v>101</v>
          </cell>
        </row>
        <row r="116">
          <cell r="G116">
            <v>102</v>
          </cell>
        </row>
        <row r="117">
          <cell r="G117">
            <v>103</v>
          </cell>
        </row>
        <row r="118">
          <cell r="G118">
            <v>104</v>
          </cell>
        </row>
        <row r="119">
          <cell r="G119">
            <v>105</v>
          </cell>
        </row>
        <row r="120">
          <cell r="G120">
            <v>106</v>
          </cell>
        </row>
        <row r="121">
          <cell r="G121">
            <v>107</v>
          </cell>
        </row>
        <row r="122">
          <cell r="G122">
            <v>108</v>
          </cell>
        </row>
        <row r="123">
          <cell r="G123">
            <v>109</v>
          </cell>
        </row>
        <row r="124">
          <cell r="G124">
            <v>110</v>
          </cell>
        </row>
        <row r="125">
          <cell r="G125">
            <v>111</v>
          </cell>
        </row>
        <row r="126">
          <cell r="G126">
            <v>112</v>
          </cell>
        </row>
        <row r="127">
          <cell r="G127">
            <v>113</v>
          </cell>
        </row>
        <row r="128">
          <cell r="G128">
            <v>114</v>
          </cell>
        </row>
        <row r="129">
          <cell r="G129">
            <v>115</v>
          </cell>
        </row>
        <row r="130">
          <cell r="G130">
            <v>116</v>
          </cell>
        </row>
        <row r="131">
          <cell r="G131">
            <v>117</v>
          </cell>
        </row>
        <row r="132">
          <cell r="G132">
            <v>118</v>
          </cell>
        </row>
        <row r="133">
          <cell r="G133">
            <v>119</v>
          </cell>
        </row>
        <row r="134">
          <cell r="G134">
            <v>120</v>
          </cell>
        </row>
        <row r="135">
          <cell r="G135">
            <v>121</v>
          </cell>
        </row>
        <row r="136">
          <cell r="G136">
            <v>122</v>
          </cell>
        </row>
        <row r="137">
          <cell r="G137">
            <v>123</v>
          </cell>
        </row>
        <row r="138">
          <cell r="G138">
            <v>124</v>
          </cell>
        </row>
        <row r="139">
          <cell r="G139">
            <v>125</v>
          </cell>
        </row>
        <row r="140">
          <cell r="G140">
            <v>126</v>
          </cell>
        </row>
        <row r="141">
          <cell r="G141">
            <v>127</v>
          </cell>
        </row>
        <row r="142">
          <cell r="G142">
            <v>128</v>
          </cell>
        </row>
        <row r="143">
          <cell r="G143">
            <v>129</v>
          </cell>
        </row>
        <row r="144">
          <cell r="G144">
            <v>130</v>
          </cell>
        </row>
        <row r="145">
          <cell r="G145">
            <v>131</v>
          </cell>
        </row>
        <row r="146">
          <cell r="G146">
            <v>132</v>
          </cell>
        </row>
        <row r="147">
          <cell r="G147">
            <v>133</v>
          </cell>
        </row>
        <row r="148">
          <cell r="G148">
            <v>134</v>
          </cell>
        </row>
        <row r="149">
          <cell r="G149">
            <v>135</v>
          </cell>
        </row>
        <row r="150">
          <cell r="G150">
            <v>136</v>
          </cell>
        </row>
        <row r="151">
          <cell r="G151">
            <v>137</v>
          </cell>
        </row>
        <row r="152">
          <cell r="G152">
            <v>138</v>
          </cell>
        </row>
        <row r="153">
          <cell r="G153">
            <v>139</v>
          </cell>
        </row>
        <row r="155">
          <cell r="G155">
            <v>140</v>
          </cell>
        </row>
        <row r="156">
          <cell r="G156">
            <v>141</v>
          </cell>
        </row>
        <row r="157">
          <cell r="G157">
            <v>142</v>
          </cell>
        </row>
        <row r="158">
          <cell r="G158">
            <v>143</v>
          </cell>
        </row>
        <row r="159">
          <cell r="G159">
            <v>144</v>
          </cell>
        </row>
        <row r="160">
          <cell r="G160">
            <v>145</v>
          </cell>
        </row>
        <row r="161">
          <cell r="G161">
            <v>146</v>
          </cell>
        </row>
        <row r="162">
          <cell r="G162">
            <v>147</v>
          </cell>
        </row>
        <row r="163">
          <cell r="G163">
            <v>148</v>
          </cell>
        </row>
        <row r="164">
          <cell r="G164">
            <v>149</v>
          </cell>
        </row>
        <row r="165">
          <cell r="G165">
            <v>150</v>
          </cell>
        </row>
        <row r="166">
          <cell r="G166">
            <v>151</v>
          </cell>
        </row>
        <row r="167">
          <cell r="G167">
            <v>152</v>
          </cell>
        </row>
        <row r="168">
          <cell r="G168">
            <v>153</v>
          </cell>
        </row>
        <row r="169">
          <cell r="G169">
            <v>154</v>
          </cell>
        </row>
        <row r="170">
          <cell r="G170">
            <v>155</v>
          </cell>
        </row>
        <row r="171">
          <cell r="G171">
            <v>156</v>
          </cell>
        </row>
        <row r="172">
          <cell r="G172">
            <v>157</v>
          </cell>
        </row>
        <row r="173">
          <cell r="G173">
            <v>158</v>
          </cell>
        </row>
        <row r="174">
          <cell r="G174">
            <v>159</v>
          </cell>
        </row>
        <row r="175">
          <cell r="G175">
            <v>160</v>
          </cell>
        </row>
        <row r="176">
          <cell r="G176">
            <v>161</v>
          </cell>
        </row>
        <row r="177">
          <cell r="G177">
            <v>162</v>
          </cell>
        </row>
        <row r="178">
          <cell r="G178">
            <v>163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PC_LD (2)"/>
      <sheetName val="CU TRAM(bổ sung)"/>
      <sheetName val="CU DUA(bổ sung)"/>
      <sheetName val="CotThep tường cống(Ba Cô)"/>
      <sheetName val="Biểu giá Phân chia PS tăng"/>
      <sheetName val="DG (PS)"/>
      <sheetName val="KLPS"/>
      <sheetName val="TT-PS (đợt 3)"/>
      <sheetName val="TT (CH)"/>
      <sheetName val="KL (CH)"/>
      <sheetName val="DG (CH)"/>
      <sheetName val="DG (CH)-NT"/>
      <sheetName val="DE quai (3 Cô) (2)"/>
      <sheetName val="TH_GIA"/>
      <sheetName val="CT_GIA"/>
      <sheetName val="KL NAO VET"/>
    </sheetNames>
    <definedNames>
      <definedName name="DSTD_Clear" refersTo="#REF!" sheetId="12"/>
      <definedName name="PtichDTL" refersTo="#REF!" sheetId="12"/>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Đầu vào"/>
      <sheetName val="tm"/>
      <sheetName val="THKP957"/>
      <sheetName val="QD957"/>
      <sheetName val="THCPXD"/>
      <sheetName val="DPtruotgia"/>
      <sheetName val="TDluachonnhathau"/>
      <sheetName val="Tổng hợp KPHM"/>
      <sheetName val="Phân tích VT"/>
      <sheetName val="bocxep"/>
      <sheetName val="Sheet1"/>
      <sheetName val="Cước CG"/>
      <sheetName val="Cước TC"/>
      <sheetName val="Cước ĐT"/>
      <sheetName val="Vật liệu"/>
      <sheetName val="Nhân công"/>
      <sheetName val="Máy TC"/>
      <sheetName val="Chiết tính"/>
      <sheetName val="ĐG Công trình"/>
      <sheetName val="THCPTB"/>
      <sheetName val="THKP1751"/>
      <sheetName val="CV1751"/>
      <sheetName val="TH Thép"/>
      <sheetName val="CFDP"/>
      <sheetName val="Thẩm định"/>
      <sheetName val="Bìa"/>
      <sheetName val="Tính giá NC"/>
      <sheetName val="Tính giá M"/>
      <sheetName val="SL cước"/>
      <sheetName val="Config"/>
      <sheetName val="Bang THMTC"/>
      <sheetName val="Print"/>
      <sheetName val="Sheet2"/>
    </sheetNames>
    <sheetDataSet>
      <sheetData sheetId="0">
        <row r="3">
          <cell r="AL3" t="str">
            <v>Công trình dân dụng</v>
          </cell>
          <cell r="AM3" t="str">
            <v>1 bước</v>
          </cell>
          <cell r="AN3" t="str">
            <v>Cấp đặc biệt</v>
          </cell>
        </row>
        <row r="4">
          <cell r="AL4" t="str">
            <v>Công trình công nghiệp</v>
          </cell>
          <cell r="AM4" t="str">
            <v>2 bước</v>
          </cell>
          <cell r="AN4" t="str">
            <v>Cấp I</v>
          </cell>
        </row>
        <row r="5">
          <cell r="AL5" t="str">
            <v>Công trình giao thông</v>
          </cell>
          <cell r="AM5" t="str">
            <v>3 bước</v>
          </cell>
          <cell r="AN5" t="str">
            <v>Cấp II</v>
          </cell>
        </row>
        <row r="6">
          <cell r="AL6" t="str">
            <v>Công trình thủy lợi</v>
          </cell>
          <cell r="AN6" t="str">
            <v>Cấp III</v>
          </cell>
        </row>
        <row r="7">
          <cell r="AL7" t="str">
            <v>Công trình hạ tầng kỹ thuật</v>
          </cell>
          <cell r="AN7" t="str">
            <v>Cấp IV</v>
          </cell>
        </row>
      </sheetData>
      <sheetData sheetId="1" refreshError="1"/>
      <sheetData sheetId="2"/>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CD2000"/>
      <sheetName val="PT"/>
    </sheetNames>
    <sheetDataSet>
      <sheetData sheetId="0" refreshError="1">
        <row r="3">
          <cell r="D3" t="str">
            <v>Sè ®µu n¨m (VN§)</v>
          </cell>
        </row>
        <row r="4">
          <cell r="D4" t="str">
            <v>nî</v>
          </cell>
        </row>
        <row r="5">
          <cell r="D5">
            <v>0</v>
          </cell>
        </row>
        <row r="6">
          <cell r="D6">
            <v>0</v>
          </cell>
        </row>
        <row r="7">
          <cell r="D7">
            <v>64283719.999999993</v>
          </cell>
        </row>
        <row r="8">
          <cell r="D8">
            <v>113535</v>
          </cell>
        </row>
        <row r="9">
          <cell r="D9">
            <v>0</v>
          </cell>
        </row>
        <row r="10">
          <cell r="D10">
            <v>0</v>
          </cell>
        </row>
        <row r="11">
          <cell r="D11">
            <v>0</v>
          </cell>
        </row>
        <row r="12">
          <cell r="D12">
            <v>0</v>
          </cell>
        </row>
        <row r="13">
          <cell r="D13">
            <v>0</v>
          </cell>
        </row>
        <row r="14">
          <cell r="D14">
            <v>465483930</v>
          </cell>
        </row>
        <row r="15">
          <cell r="D15">
            <v>0</v>
          </cell>
        </row>
        <row r="16">
          <cell r="D16">
            <v>0</v>
          </cell>
        </row>
        <row r="17">
          <cell r="D17">
            <v>0</v>
          </cell>
        </row>
        <row r="18">
          <cell r="D18">
            <v>0</v>
          </cell>
        </row>
        <row r="19">
          <cell r="D19">
            <v>0</v>
          </cell>
        </row>
        <row r="20">
          <cell r="D20">
            <v>0</v>
          </cell>
        </row>
        <row r="21">
          <cell r="D21">
            <v>0</v>
          </cell>
        </row>
        <row r="22">
          <cell r="D22">
            <v>0</v>
          </cell>
        </row>
        <row r="23">
          <cell r="D23">
            <v>0</v>
          </cell>
        </row>
        <row r="24">
          <cell r="D24">
            <v>0</v>
          </cell>
        </row>
        <row r="25">
          <cell r="D25">
            <v>0</v>
          </cell>
        </row>
        <row r="26">
          <cell r="D26">
            <v>782182345</v>
          </cell>
        </row>
        <row r="27">
          <cell r="D27">
            <v>0</v>
          </cell>
        </row>
        <row r="28">
          <cell r="D28">
            <v>57647940</v>
          </cell>
        </row>
        <row r="29">
          <cell r="D29">
            <v>51381620</v>
          </cell>
        </row>
        <row r="30">
          <cell r="D30">
            <v>76181115</v>
          </cell>
        </row>
        <row r="31">
          <cell r="D31">
            <v>0</v>
          </cell>
        </row>
        <row r="32">
          <cell r="D32">
            <v>110990830</v>
          </cell>
        </row>
        <row r="33">
          <cell r="D33">
            <v>90026150</v>
          </cell>
        </row>
        <row r="34">
          <cell r="D34">
            <v>0</v>
          </cell>
        </row>
        <row r="35">
          <cell r="D35">
            <v>922592515</v>
          </cell>
        </row>
        <row r="36">
          <cell r="D36">
            <v>0</v>
          </cell>
        </row>
        <row r="37">
          <cell r="D37">
            <v>0</v>
          </cell>
        </row>
        <row r="38">
          <cell r="D38">
            <v>0</v>
          </cell>
        </row>
        <row r="39">
          <cell r="D39">
            <v>0</v>
          </cell>
        </row>
        <row r="40">
          <cell r="D40">
            <v>121429960</v>
          </cell>
        </row>
        <row r="41">
          <cell r="D41">
            <v>0</v>
          </cell>
        </row>
        <row r="42">
          <cell r="D42">
            <v>0</v>
          </cell>
        </row>
        <row r="43">
          <cell r="D43">
            <v>0</v>
          </cell>
        </row>
        <row r="44">
          <cell r="D44">
            <v>0</v>
          </cell>
        </row>
        <row r="45">
          <cell r="D45">
            <v>0</v>
          </cell>
        </row>
        <row r="46">
          <cell r="D46">
            <v>0</v>
          </cell>
        </row>
        <row r="47">
          <cell r="D47">
            <v>0</v>
          </cell>
        </row>
        <row r="48">
          <cell r="D48">
            <v>0</v>
          </cell>
        </row>
        <row r="49">
          <cell r="D49">
            <v>0</v>
          </cell>
        </row>
        <row r="50">
          <cell r="D50">
            <v>72500000</v>
          </cell>
        </row>
        <row r="51">
          <cell r="D51">
            <v>4350000000</v>
          </cell>
        </row>
        <row r="52">
          <cell r="D52">
            <v>56448500</v>
          </cell>
        </row>
        <row r="53">
          <cell r="D53">
            <v>0</v>
          </cell>
        </row>
        <row r="54">
          <cell r="D54">
            <v>472610970</v>
          </cell>
        </row>
        <row r="55">
          <cell r="D55">
            <v>0</v>
          </cell>
        </row>
        <row r="56">
          <cell r="D56">
            <v>0</v>
          </cell>
        </row>
        <row r="57">
          <cell r="D57">
            <v>38073375</v>
          </cell>
        </row>
        <row r="58">
          <cell r="D58">
            <v>18676145</v>
          </cell>
        </row>
        <row r="59">
          <cell r="D59">
            <v>0</v>
          </cell>
        </row>
        <row r="60">
          <cell r="D60">
            <v>0</v>
          </cell>
        </row>
        <row r="61">
          <cell r="D61">
            <v>1663728260</v>
          </cell>
        </row>
        <row r="62">
          <cell r="D62">
            <v>435984985</v>
          </cell>
        </row>
        <row r="63">
          <cell r="D63">
            <v>0</v>
          </cell>
        </row>
        <row r="64">
          <cell r="D64">
            <v>0</v>
          </cell>
        </row>
        <row r="65">
          <cell r="D65">
            <v>61567435</v>
          </cell>
        </row>
        <row r="66">
          <cell r="D66">
            <v>0</v>
          </cell>
        </row>
        <row r="67">
          <cell r="D67">
            <v>0</v>
          </cell>
        </row>
        <row r="68">
          <cell r="D68">
            <v>865343035</v>
          </cell>
        </row>
        <row r="69">
          <cell r="D69">
            <v>0</v>
          </cell>
        </row>
        <row r="70">
          <cell r="D70">
            <v>847624470</v>
          </cell>
        </row>
        <row r="71">
          <cell r="D71">
            <v>0</v>
          </cell>
        </row>
        <row r="72">
          <cell r="D72">
            <v>0</v>
          </cell>
        </row>
        <row r="73">
          <cell r="D73">
            <v>0</v>
          </cell>
        </row>
        <row r="74">
          <cell r="D74">
            <v>0</v>
          </cell>
        </row>
        <row r="75">
          <cell r="D75">
            <v>0</v>
          </cell>
        </row>
        <row r="76">
          <cell r="D76">
            <v>0</v>
          </cell>
        </row>
        <row r="77">
          <cell r="D77">
            <v>0</v>
          </cell>
        </row>
        <row r="78">
          <cell r="D78">
            <v>0</v>
          </cell>
        </row>
        <row r="79">
          <cell r="D79">
            <v>0</v>
          </cell>
        </row>
        <row r="80">
          <cell r="D80">
            <v>15544923650</v>
          </cell>
        </row>
        <row r="81">
          <cell r="D81">
            <v>56570354810</v>
          </cell>
        </row>
        <row r="82">
          <cell r="D82">
            <v>609396720</v>
          </cell>
        </row>
        <row r="83">
          <cell r="D83">
            <v>632895855</v>
          </cell>
        </row>
        <row r="84">
          <cell r="D84">
            <v>0</v>
          </cell>
        </row>
        <row r="85">
          <cell r="D85">
            <v>0</v>
          </cell>
        </row>
        <row r="86">
          <cell r="D86">
            <v>0</v>
          </cell>
        </row>
        <row r="87">
          <cell r="D87">
            <v>0</v>
          </cell>
        </row>
        <row r="88">
          <cell r="D88">
            <v>0</v>
          </cell>
        </row>
        <row r="89">
          <cell r="D89">
            <v>8932678310</v>
          </cell>
        </row>
        <row r="90">
          <cell r="D90">
            <v>0</v>
          </cell>
        </row>
        <row r="91">
          <cell r="D91">
            <v>0</v>
          </cell>
        </row>
        <row r="92">
          <cell r="D92">
            <v>0</v>
          </cell>
        </row>
        <row r="93">
          <cell r="D93">
            <v>0</v>
          </cell>
        </row>
        <row r="94">
          <cell r="D94">
            <v>0</v>
          </cell>
        </row>
        <row r="95">
          <cell r="D95">
            <v>0</v>
          </cell>
        </row>
        <row r="96">
          <cell r="D96">
            <v>0</v>
          </cell>
        </row>
        <row r="97">
          <cell r="D97">
            <v>0</v>
          </cell>
        </row>
        <row r="98">
          <cell r="D98">
            <v>0</v>
          </cell>
        </row>
        <row r="99">
          <cell r="D99">
            <v>0</v>
          </cell>
        </row>
        <row r="100">
          <cell r="D100">
            <v>0</v>
          </cell>
        </row>
        <row r="101">
          <cell r="D101">
            <v>0</v>
          </cell>
        </row>
        <row r="102">
          <cell r="D102">
            <v>0</v>
          </cell>
        </row>
        <row r="103">
          <cell r="D103">
            <v>0</v>
          </cell>
        </row>
        <row r="104">
          <cell r="D104">
            <v>0</v>
          </cell>
        </row>
        <row r="105">
          <cell r="D105">
            <v>0</v>
          </cell>
        </row>
        <row r="106">
          <cell r="D106">
            <v>0</v>
          </cell>
        </row>
        <row r="107">
          <cell r="D107">
            <v>0</v>
          </cell>
        </row>
        <row r="108">
          <cell r="D108">
            <v>0</v>
          </cell>
        </row>
        <row r="109">
          <cell r="D109">
            <v>0</v>
          </cell>
        </row>
        <row r="110">
          <cell r="D110">
            <v>0</v>
          </cell>
        </row>
        <row r="111">
          <cell r="D111">
            <v>0</v>
          </cell>
        </row>
        <row r="112">
          <cell r="D112">
            <v>0</v>
          </cell>
        </row>
        <row r="113">
          <cell r="D113">
            <v>0</v>
          </cell>
        </row>
        <row r="114">
          <cell r="D114">
            <v>0</v>
          </cell>
        </row>
        <row r="115">
          <cell r="D115">
            <v>0</v>
          </cell>
        </row>
        <row r="116">
          <cell r="D116">
            <v>0</v>
          </cell>
        </row>
        <row r="117">
          <cell r="D117">
            <v>0</v>
          </cell>
        </row>
        <row r="118">
          <cell r="D118">
            <v>0</v>
          </cell>
        </row>
        <row r="119">
          <cell r="D119">
            <v>0</v>
          </cell>
        </row>
        <row r="120">
          <cell r="D120">
            <v>0</v>
          </cell>
        </row>
        <row r="121">
          <cell r="D121">
            <v>0</v>
          </cell>
        </row>
        <row r="122">
          <cell r="D122">
            <v>0</v>
          </cell>
        </row>
        <row r="123">
          <cell r="D123">
            <v>0</v>
          </cell>
        </row>
        <row r="124">
          <cell r="D124">
            <v>0</v>
          </cell>
        </row>
        <row r="125">
          <cell r="D125">
            <v>0</v>
          </cell>
        </row>
        <row r="126">
          <cell r="D126">
            <v>0</v>
          </cell>
        </row>
        <row r="127">
          <cell r="D127">
            <v>0</v>
          </cell>
        </row>
        <row r="128">
          <cell r="D128">
            <v>0</v>
          </cell>
        </row>
        <row r="129">
          <cell r="D129">
            <v>0</v>
          </cell>
        </row>
        <row r="130">
          <cell r="D130">
            <v>0</v>
          </cell>
        </row>
        <row r="131">
          <cell r="D131">
            <v>0</v>
          </cell>
        </row>
        <row r="132">
          <cell r="D132">
            <v>0</v>
          </cell>
        </row>
        <row r="133">
          <cell r="D133">
            <v>0</v>
          </cell>
        </row>
        <row r="134">
          <cell r="D134">
            <v>0</v>
          </cell>
        </row>
        <row r="135">
          <cell r="D135">
            <v>0</v>
          </cell>
        </row>
        <row r="136">
          <cell r="D136">
            <v>0</v>
          </cell>
        </row>
        <row r="137">
          <cell r="D137">
            <v>0</v>
          </cell>
        </row>
        <row r="138">
          <cell r="D138">
            <v>0</v>
          </cell>
        </row>
        <row r="139">
          <cell r="D139">
            <v>0</v>
          </cell>
        </row>
        <row r="140">
          <cell r="D140">
            <v>0</v>
          </cell>
        </row>
        <row r="141">
          <cell r="D141">
            <v>0</v>
          </cell>
        </row>
        <row r="142">
          <cell r="D142">
            <v>0</v>
          </cell>
        </row>
        <row r="143">
          <cell r="D143">
            <v>0</v>
          </cell>
        </row>
        <row r="144">
          <cell r="D144">
            <v>0</v>
          </cell>
        </row>
        <row r="145">
          <cell r="D145">
            <v>0</v>
          </cell>
        </row>
        <row r="146">
          <cell r="D146">
            <v>0</v>
          </cell>
        </row>
        <row r="147">
          <cell r="D147">
            <v>0</v>
          </cell>
        </row>
        <row r="148">
          <cell r="D148">
            <v>0</v>
          </cell>
        </row>
        <row r="149">
          <cell r="D149">
            <v>0</v>
          </cell>
        </row>
        <row r="150">
          <cell r="D150">
            <v>0</v>
          </cell>
        </row>
        <row r="151">
          <cell r="D151">
            <v>0</v>
          </cell>
        </row>
        <row r="152">
          <cell r="D152">
            <v>0</v>
          </cell>
        </row>
        <row r="153">
          <cell r="D153">
            <v>0</v>
          </cell>
        </row>
        <row r="154">
          <cell r="D154">
            <v>0</v>
          </cell>
        </row>
        <row r="155">
          <cell r="D155">
            <v>0</v>
          </cell>
        </row>
        <row r="156">
          <cell r="D156">
            <v>0</v>
          </cell>
        </row>
        <row r="157">
          <cell r="D157">
            <v>0</v>
          </cell>
        </row>
        <row r="158">
          <cell r="D158">
            <v>0</v>
          </cell>
        </row>
        <row r="159">
          <cell r="D159">
            <v>0</v>
          </cell>
        </row>
        <row r="160">
          <cell r="D160">
            <v>0</v>
          </cell>
        </row>
        <row r="161">
          <cell r="D161">
            <v>0</v>
          </cell>
        </row>
        <row r="162">
          <cell r="D162">
            <v>0</v>
          </cell>
        </row>
        <row r="163">
          <cell r="D163">
            <v>0</v>
          </cell>
        </row>
        <row r="164">
          <cell r="D164">
            <v>0</v>
          </cell>
        </row>
        <row r="165">
          <cell r="D165">
            <v>0</v>
          </cell>
        </row>
        <row r="166">
          <cell r="D166">
            <v>0</v>
          </cell>
        </row>
        <row r="167">
          <cell r="D167">
            <v>0</v>
          </cell>
        </row>
        <row r="168">
          <cell r="D168">
            <v>0</v>
          </cell>
        </row>
        <row r="169">
          <cell r="D169">
            <v>43026562675</v>
          </cell>
        </row>
        <row r="170">
          <cell r="D170">
            <v>0</v>
          </cell>
        </row>
        <row r="171">
          <cell r="D171">
            <v>0</v>
          </cell>
        </row>
        <row r="172">
          <cell r="D172">
            <v>0</v>
          </cell>
        </row>
        <row r="173">
          <cell r="D173">
            <v>0</v>
          </cell>
        </row>
        <row r="174">
          <cell r="D174">
            <v>0</v>
          </cell>
        </row>
        <row r="175">
          <cell r="D175">
            <v>0</v>
          </cell>
        </row>
        <row r="176">
          <cell r="D176">
            <v>0</v>
          </cell>
        </row>
        <row r="177">
          <cell r="D177">
            <v>0</v>
          </cell>
        </row>
        <row r="178">
          <cell r="D178">
            <v>0</v>
          </cell>
        </row>
        <row r="179">
          <cell r="D179">
            <v>0</v>
          </cell>
        </row>
        <row r="180">
          <cell r="D180">
            <v>0</v>
          </cell>
        </row>
        <row r="181">
          <cell r="D181">
            <v>0</v>
          </cell>
        </row>
        <row r="182">
          <cell r="D182">
            <v>0</v>
          </cell>
        </row>
        <row r="183">
          <cell r="D183">
            <v>0</v>
          </cell>
        </row>
        <row r="184">
          <cell r="D184">
            <v>0</v>
          </cell>
        </row>
        <row r="185">
          <cell r="D185">
            <v>0</v>
          </cell>
        </row>
        <row r="186">
          <cell r="D186">
            <v>0</v>
          </cell>
        </row>
        <row r="187">
          <cell r="D187">
            <v>0</v>
          </cell>
        </row>
        <row r="188">
          <cell r="D188">
            <v>0</v>
          </cell>
        </row>
        <row r="189">
          <cell r="D189">
            <v>0</v>
          </cell>
        </row>
        <row r="190">
          <cell r="D190">
            <v>0</v>
          </cell>
        </row>
        <row r="191">
          <cell r="D191">
            <v>0</v>
          </cell>
        </row>
        <row r="192">
          <cell r="D192">
            <v>0</v>
          </cell>
        </row>
        <row r="193">
          <cell r="D193">
            <v>0</v>
          </cell>
        </row>
        <row r="194">
          <cell r="D194">
            <v>0</v>
          </cell>
        </row>
        <row r="195">
          <cell r="D195">
            <v>0</v>
          </cell>
        </row>
        <row r="196">
          <cell r="D196">
            <v>0</v>
          </cell>
        </row>
        <row r="197">
          <cell r="D197">
            <v>0</v>
          </cell>
        </row>
        <row r="198">
          <cell r="D198">
            <v>0</v>
          </cell>
        </row>
        <row r="199">
          <cell r="D199">
            <v>0</v>
          </cell>
        </row>
        <row r="200">
          <cell r="D200">
            <v>0</v>
          </cell>
        </row>
        <row r="201">
          <cell r="D201">
            <v>0</v>
          </cell>
        </row>
        <row r="202">
          <cell r="D202">
            <v>0</v>
          </cell>
        </row>
        <row r="203">
          <cell r="D203">
            <v>0</v>
          </cell>
        </row>
        <row r="204">
          <cell r="D204">
            <v>0</v>
          </cell>
        </row>
        <row r="205">
          <cell r="D205">
            <v>0</v>
          </cell>
        </row>
        <row r="206">
          <cell r="D206">
            <v>0</v>
          </cell>
        </row>
        <row r="207">
          <cell r="D207">
            <v>0</v>
          </cell>
        </row>
        <row r="208">
          <cell r="D208">
            <v>0</v>
          </cell>
        </row>
        <row r="209">
          <cell r="D209">
            <v>0</v>
          </cell>
        </row>
        <row r="210">
          <cell r="D210">
            <v>0</v>
          </cell>
        </row>
        <row r="211">
          <cell r="D211">
            <v>0</v>
          </cell>
        </row>
        <row r="212">
          <cell r="D212">
            <v>0</v>
          </cell>
        </row>
        <row r="213">
          <cell r="D213">
            <v>0</v>
          </cell>
        </row>
        <row r="214">
          <cell r="D214">
            <v>0</v>
          </cell>
        </row>
        <row r="215">
          <cell r="D215">
            <v>0</v>
          </cell>
        </row>
        <row r="216">
          <cell r="D216">
            <v>0</v>
          </cell>
        </row>
        <row r="217">
          <cell r="D217">
            <v>0</v>
          </cell>
        </row>
        <row r="218">
          <cell r="D218">
            <v>0</v>
          </cell>
        </row>
        <row r="219">
          <cell r="D219">
            <v>0</v>
          </cell>
        </row>
        <row r="220">
          <cell r="D220">
            <v>0</v>
          </cell>
        </row>
        <row r="221">
          <cell r="D221">
            <v>0</v>
          </cell>
        </row>
        <row r="222">
          <cell r="D222">
            <v>0</v>
          </cell>
        </row>
        <row r="223">
          <cell r="D223">
            <v>0</v>
          </cell>
        </row>
        <row r="224">
          <cell r="D224">
            <v>0</v>
          </cell>
        </row>
        <row r="225">
          <cell r="D225">
            <v>0</v>
          </cell>
        </row>
        <row r="226">
          <cell r="D226">
            <v>0</v>
          </cell>
        </row>
        <row r="227">
          <cell r="D227">
            <v>0</v>
          </cell>
        </row>
        <row r="228">
          <cell r="D228">
            <v>0</v>
          </cell>
        </row>
        <row r="229">
          <cell r="D229">
            <v>0</v>
          </cell>
        </row>
        <row r="230">
          <cell r="D230">
            <v>0</v>
          </cell>
        </row>
        <row r="231">
          <cell r="D231">
            <v>0</v>
          </cell>
        </row>
        <row r="234">
          <cell r="D234">
            <v>136941682855</v>
          </cell>
        </row>
      </sheetData>
      <sheetData sheetId="1"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Tinh tong hop du toan"/>
      <sheetName val="QMCT"/>
      <sheetName val="NEW-PANEL"/>
      <sheetName val="breakdown"/>
      <sheetName val="Data"/>
      <sheetName val="Tong hop 1,05"/>
      <sheetName val="Tong hop 1,1"/>
      <sheetName val="Tong hop WB"/>
      <sheetName val="34KHCB"/>
      <sheetName val="Module1"/>
      <sheetName val="Phu thu"/>
      <sheetName val="Tong hop"/>
      <sheetName val="nd316"/>
      <sheetName val="ad304"/>
      <sheetName val="ad301"/>
      <sheetName val="ad302"/>
      <sheetName val="nd116"/>
      <sheetName val="GD309"/>
      <sheetName val="GD110"/>
      <sheetName val="ad403"/>
      <sheetName val="ad404"/>
      <sheetName val="ND120"/>
      <sheetName val="ND119"/>
      <sheetName val="GD217"/>
      <sheetName val="KT"/>
      <sheetName val="Dai tu 99"/>
      <sheetName val="KHCB"/>
      <sheetName val="WB"/>
      <sheetName val="VAT"/>
      <sheetName val="CK90702"/>
      <sheetName val="CK90703"/>
      <sheetName val="Thu duc"/>
      <sheetName val="ad201"/>
      <sheetName val="Data PT"/>
      <sheetName val="HD-XUAT"/>
      <sheetName val="GiaVT"/>
    </sheetNames>
    <definedNames>
      <definedName name="gsktxd"/>
      <definedName name="qlda"/>
      <definedName name="tinhqt"/>
      <definedName name="tkpdt"/>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THDT"/>
      <sheetName val="THKP"/>
      <sheetName val="TOXL"/>
      <sheetName val="KPXL"/>
      <sheetName val="DTCT"/>
      <sheetName val="DGR"/>
      <sheetName val="DGVL_BUCL"/>
      <sheetName val="VCVL"/>
      <sheetName val="BOCDO"/>
      <sheetName val="TKVL"/>
      <sheetName val="YCVL"/>
      <sheetName val="YCXM"/>
      <sheetName val="TKXM"/>
      <sheetName val="STKL"/>
      <sheetName val="Sheet12"/>
      <sheetName val="Sheet13"/>
      <sheetName val="Sheet14"/>
      <sheetName val="SET_CTR"/>
      <sheetName val="DOITIEN"/>
      <sheetName val="CUOCDB"/>
      <sheetName val="TKVL_TAM"/>
    </sheetNames>
    <sheetDataSet>
      <sheetData sheetId="0" refreshError="1"/>
      <sheetData sheetId="1">
        <row r="7">
          <cell r="J7">
            <v>704590558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INFOR"/>
      <sheetName val="List thi nghiem"/>
      <sheetName val="LISTBIENBAN (Đ3)"/>
      <sheetName val="KRTAVLIEU"/>
      <sheetName val="LISTNGHIEMTHU"/>
      <sheetName val="LISTBIENBAN"/>
      <sheetName val="1.NTNB"/>
      <sheetName val="2.PYC (3)"/>
      <sheetName val="2.PYC"/>
      <sheetName val="3.NTCV (3)"/>
      <sheetName val="3.NTCV"/>
      <sheetName val="5.KLKEMTHEO (2)"/>
      <sheetName val="5.KLKEMTHEO"/>
      <sheetName val="6.DGIAI (2)"/>
      <sheetName val="6.DGIAI"/>
      <sheetName val="kl thep coc nha tho"/>
      <sheetName val="7.BANGTINKHOILUONG"/>
      <sheetName val="4.BBMAUBT"/>
    </sheetNames>
    <sheetDataSet>
      <sheetData sheetId="0">
        <row r="3">
          <cell r="C3" t="str">
            <v>1194/HĐXD/2018 Thi công xây dựng công trình ngày 26 tháng 09 năm 2018 giữa Ban Quản lý dự án ĐTXD các công trình nông nghiệp và phát triển nông thôn Bến Tre với Liên danh Công ty CP ĐT và Xây Dựng Tiền Giang - CP Đầu tư &amp; Xây dựng Đại Phước An</v>
          </cell>
        </row>
        <row r="8">
          <cell r="C8" t="str">
            <v>Cầu Nhà Thờ</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Kiemtra"/>
    </sheetNames>
    <definedNames>
      <definedName name="K_1"/>
      <definedName name="K_2"/>
      <definedName name="K_3"/>
      <definedName name="K_4"/>
      <definedName name="K_5"/>
      <definedName name="K_6"/>
      <definedName name="K_7"/>
      <definedName name="K_8"/>
    </definedNames>
    <sheetDataSet>
      <sheetData sheetId="0"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Tinh tong hop du toan bis"/>
    </sheetNames>
    <definedNames>
      <definedName name="lbcnckt"/>
      <definedName name="Module1.cplhsmt"/>
      <definedName name="Module1.cptdhsmt"/>
      <definedName name="Module1.cptdtdt"/>
      <definedName name="Module1.cptdtkkt"/>
      <definedName name="Module1.gsktxd"/>
      <definedName name="Module1.qlda"/>
      <definedName name="Module1.tinhqt"/>
      <definedName name="tdbcnckt"/>
    </definedNames>
    <sheetDataSet>
      <sheetData sheetId="0"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Program"/>
      <sheetName val="Don Gia"/>
      <sheetName val="Dinh Muc"/>
      <sheetName val="MSDM"/>
      <sheetName val="TL&amp;DG"/>
      <sheetName val="DTDG"/>
      <sheetName val="Sheet1"/>
      <sheetName val="ChtVT(2)"/>
      <sheetName val="Dtoan"/>
      <sheetName val="Ungtien  "/>
      <sheetName val="Cauthg"/>
      <sheetName val="HBT-DK2"/>
    </sheetNames>
    <definedNames>
      <definedName name="Macro18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Program"/>
      <sheetName val="Don Gia"/>
      <sheetName val="Dinh Muc"/>
      <sheetName val="MSDM"/>
      <sheetName val="TL&amp;DG"/>
      <sheetName val="DTDG"/>
      <sheetName val="Sheet1"/>
      <sheetName val="ChtVT(2)"/>
      <sheetName val="Dtoan"/>
      <sheetName val="Ungtien  "/>
      <sheetName val="Cauthg"/>
      <sheetName val="HBT-DK2"/>
    </sheetNames>
    <definedNames>
      <definedName name="Macro20b"/>
      <definedName name="Macro21b"/>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THOP95"/>
      <sheetName val="CHITIET VL-NC-TT1p"/>
      <sheetName val="TONGKE3p"/>
      <sheetName val="dg-VTu"/>
      <sheetName val="DM Chi phi"/>
      <sheetName val="dtxl"/>
      <sheetName val="CHITIET VL-NCHT1 (2)"/>
      <sheetName val="bieu_solieu"/>
      <sheetName val="tong du toan"/>
      <sheetName val="Quantity"/>
      <sheetName val="Sheet1"/>
      <sheetName val="Sheet2"/>
      <sheetName val="Sheet3"/>
      <sheetName val="Ngay"/>
      <sheetName val="Gia vat tu"/>
      <sheetName val="DN"/>
      <sheetName val="VP"/>
      <sheetName val="KD"/>
      <sheetName val="DD"/>
      <sheetName val="CT"/>
      <sheetName val="PX"/>
      <sheetName val="GR"/>
      <sheetName val="00000000"/>
      <sheetName val="TDTKP (2)"/>
      <sheetName val="CHITIET VL-NC-DDTT3PHA "/>
      <sheetName val="hsnv"/>
      <sheetName val="cong"/>
      <sheetName val="thuong"/>
    </sheetNames>
    <definedNames>
      <definedName name="NToS"/>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WEISS"/>
    </sheetNames>
    <definedNames>
      <definedName name="setcolors" refersTo="#REF!"/>
    </definedNames>
    <sheetDataSet>
      <sheetData sheetId="0"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Gioithieu"/>
      <sheetName val="khoidong"/>
      <sheetName val="Ctietkhach"/>
      <sheetName val="soctiettk"/>
      <sheetName val="Inthkhach"/>
      <sheetName val="NK_CHUNG"/>
      <sheetName val="CD_PSINH"/>
      <sheetName val="TH_CNO"/>
      <sheetName val="CDKT"/>
      <sheetName val="gthanh"/>
      <sheetName val="B02"/>
      <sheetName val="B03_LCTT"/>
      <sheetName val="TM_BCTC"/>
      <sheetName val="BCN_01"/>
      <sheetName val="BCN_02"/>
      <sheetName val="MAKHACH"/>
      <sheetName val="XL4Poppy"/>
      <sheetName val="XL4Test5"/>
    </sheetNames>
    <sheetDataSet>
      <sheetData sheetId="0"/>
      <sheetData sheetId="1"/>
      <sheetData sheetId="2"/>
      <sheetData sheetId="3"/>
      <sheetData sheetId="4"/>
      <sheetData sheetId="5"/>
      <sheetData sheetId="6" refreshError="1">
        <row r="1">
          <cell r="A1" t="str">
            <v>viÖn khoa häc c«ng nghÖ gtvt</v>
          </cell>
        </row>
        <row r="2">
          <cell r="A2" t="str">
            <v>PH¢N VIÖN KHCN GTVT MIÒN TRUNG</v>
          </cell>
        </row>
        <row r="3">
          <cell r="A3" t="str">
            <v>b¶ng c©n ®èi kÕ to¸n</v>
          </cell>
        </row>
        <row r="4">
          <cell r="A4" t="str">
            <v>n¨m 2007</v>
          </cell>
        </row>
        <row r="6">
          <cell r="A6" t="str">
            <v>sè TT</v>
          </cell>
        </row>
        <row r="8">
          <cell r="A8">
            <v>111</v>
          </cell>
        </row>
        <row r="9">
          <cell r="A9">
            <v>1111</v>
          </cell>
        </row>
        <row r="10">
          <cell r="A10">
            <v>1114</v>
          </cell>
        </row>
        <row r="12">
          <cell r="A12">
            <v>112</v>
          </cell>
        </row>
        <row r="13">
          <cell r="A13">
            <v>1121</v>
          </cell>
        </row>
        <row r="14">
          <cell r="A14">
            <v>1122</v>
          </cell>
        </row>
        <row r="44">
          <cell r="A44">
            <v>153</v>
          </cell>
        </row>
        <row r="56">
          <cell r="A56">
            <v>211</v>
          </cell>
        </row>
        <row r="61">
          <cell r="A61">
            <v>213</v>
          </cell>
        </row>
        <row r="62">
          <cell r="A62">
            <v>214</v>
          </cell>
        </row>
        <row r="70">
          <cell r="A70">
            <v>241</v>
          </cell>
        </row>
        <row r="71">
          <cell r="A71">
            <v>311</v>
          </cell>
        </row>
        <row r="72">
          <cell r="A72">
            <v>3111</v>
          </cell>
        </row>
        <row r="73">
          <cell r="A73">
            <v>3112</v>
          </cell>
        </row>
        <row r="74">
          <cell r="A74">
            <v>3118</v>
          </cell>
        </row>
        <row r="86">
          <cell r="A86">
            <v>312</v>
          </cell>
        </row>
        <row r="88">
          <cell r="A88">
            <v>331</v>
          </cell>
        </row>
        <row r="89">
          <cell r="A89">
            <v>3311</v>
          </cell>
        </row>
        <row r="90">
          <cell r="A90">
            <v>3318</v>
          </cell>
        </row>
        <row r="92">
          <cell r="A92">
            <v>332</v>
          </cell>
        </row>
        <row r="93">
          <cell r="A93">
            <v>3321</v>
          </cell>
        </row>
        <row r="94">
          <cell r="A94">
            <v>3323</v>
          </cell>
        </row>
        <row r="95">
          <cell r="A95">
            <v>333</v>
          </cell>
        </row>
        <row r="97">
          <cell r="A97">
            <v>3331</v>
          </cell>
        </row>
        <row r="98">
          <cell r="A98">
            <v>3333</v>
          </cell>
        </row>
        <row r="99">
          <cell r="A99">
            <v>3334</v>
          </cell>
        </row>
        <row r="103">
          <cell r="A103">
            <v>3338</v>
          </cell>
        </row>
        <row r="106">
          <cell r="A106">
            <v>334</v>
          </cell>
        </row>
        <row r="107">
          <cell r="A107">
            <v>342</v>
          </cell>
        </row>
        <row r="108">
          <cell r="A108">
            <v>421</v>
          </cell>
        </row>
        <row r="109">
          <cell r="A109">
            <v>431</v>
          </cell>
        </row>
        <row r="110">
          <cell r="A110">
            <v>4311</v>
          </cell>
        </row>
        <row r="111">
          <cell r="A111">
            <v>4312</v>
          </cell>
        </row>
        <row r="112">
          <cell r="A112">
            <v>4313</v>
          </cell>
        </row>
        <row r="113">
          <cell r="A113">
            <v>4314</v>
          </cell>
        </row>
        <row r="114">
          <cell r="A114">
            <v>441</v>
          </cell>
        </row>
        <row r="116">
          <cell r="A116">
            <v>461</v>
          </cell>
        </row>
        <row r="117">
          <cell r="A117">
            <v>4611</v>
          </cell>
        </row>
        <row r="118">
          <cell r="A118">
            <v>4612</v>
          </cell>
        </row>
        <row r="119">
          <cell r="A119">
            <v>466</v>
          </cell>
        </row>
        <row r="120">
          <cell r="A120">
            <v>511</v>
          </cell>
        </row>
        <row r="121">
          <cell r="A121">
            <v>531</v>
          </cell>
        </row>
        <row r="122">
          <cell r="A122">
            <v>5311</v>
          </cell>
        </row>
        <row r="123">
          <cell r="A123">
            <v>5318</v>
          </cell>
        </row>
        <row r="124">
          <cell r="A124">
            <v>4622</v>
          </cell>
        </row>
        <row r="132">
          <cell r="A132">
            <v>631</v>
          </cell>
        </row>
        <row r="133">
          <cell r="A133">
            <v>6311</v>
          </cell>
        </row>
        <row r="134">
          <cell r="A134">
            <v>6312</v>
          </cell>
        </row>
        <row r="135">
          <cell r="A135">
            <v>661</v>
          </cell>
        </row>
        <row r="136">
          <cell r="A136">
            <v>6611</v>
          </cell>
        </row>
        <row r="137">
          <cell r="A137">
            <v>6612</v>
          </cell>
        </row>
        <row r="182">
          <cell r="A182" t="str">
            <v>0092</v>
          </cell>
        </row>
        <row r="183">
          <cell r="A183" t="str">
            <v>Ghi chó: §· ®iÒu chØnh theo BB kiÓm to¸n göi vµo ®­êng Emell ngµy 22/10/08</v>
          </cell>
        </row>
        <row r="185">
          <cell r="A185" t="str">
            <v>LËp biÓu</v>
          </cell>
        </row>
      </sheetData>
      <sheetData sheetId="7"/>
      <sheetData sheetId="8" refreshError="1">
        <row r="11">
          <cell r="C11" t="str">
            <v>MATK</v>
          </cell>
        </row>
        <row r="15">
          <cell r="C15">
            <v>111</v>
          </cell>
        </row>
        <row r="16">
          <cell r="C16">
            <v>112</v>
          </cell>
        </row>
        <row r="17">
          <cell r="C17">
            <v>113</v>
          </cell>
        </row>
        <row r="23">
          <cell r="C23">
            <v>131</v>
          </cell>
        </row>
        <row r="24">
          <cell r="C24">
            <v>331</v>
          </cell>
        </row>
        <row r="25">
          <cell r="C25">
            <v>133</v>
          </cell>
        </row>
        <row r="27">
          <cell r="C27">
            <v>1361</v>
          </cell>
        </row>
        <row r="28">
          <cell r="C28">
            <v>1368</v>
          </cell>
        </row>
        <row r="29">
          <cell r="C29">
            <v>138.33799999999999</v>
          </cell>
        </row>
        <row r="32">
          <cell r="C32">
            <v>151</v>
          </cell>
        </row>
        <row r="33">
          <cell r="C33">
            <v>152</v>
          </cell>
        </row>
        <row r="34">
          <cell r="C34">
            <v>153</v>
          </cell>
        </row>
        <row r="35">
          <cell r="C35">
            <v>154</v>
          </cell>
        </row>
        <row r="36">
          <cell r="C36">
            <v>155</v>
          </cell>
        </row>
        <row r="37">
          <cell r="C37">
            <v>156</v>
          </cell>
        </row>
        <row r="38">
          <cell r="C38">
            <v>157</v>
          </cell>
        </row>
        <row r="41">
          <cell r="C41">
            <v>141</v>
          </cell>
        </row>
        <row r="42">
          <cell r="C42">
            <v>1421</v>
          </cell>
        </row>
        <row r="43">
          <cell r="C43">
            <v>1422</v>
          </cell>
        </row>
        <row r="45">
          <cell r="C45">
            <v>144</v>
          </cell>
        </row>
        <row r="53">
          <cell r="C53">
            <v>2111</v>
          </cell>
        </row>
        <row r="54">
          <cell r="C54">
            <v>214</v>
          </cell>
        </row>
        <row r="66">
          <cell r="C66">
            <v>241</v>
          </cell>
        </row>
        <row r="68">
          <cell r="C68">
            <v>244</v>
          </cell>
        </row>
        <row r="75">
          <cell r="C75">
            <v>311</v>
          </cell>
        </row>
        <row r="77">
          <cell r="C77">
            <v>331</v>
          </cell>
        </row>
        <row r="78">
          <cell r="C78">
            <v>131</v>
          </cell>
        </row>
        <row r="79">
          <cell r="C79">
            <v>333</v>
          </cell>
        </row>
        <row r="80">
          <cell r="C80">
            <v>334</v>
          </cell>
        </row>
        <row r="81">
          <cell r="C81">
            <v>336</v>
          </cell>
        </row>
        <row r="82">
          <cell r="C82">
            <v>338</v>
          </cell>
        </row>
        <row r="84">
          <cell r="C84">
            <v>341</v>
          </cell>
        </row>
        <row r="85">
          <cell r="C85">
            <v>342</v>
          </cell>
        </row>
        <row r="87">
          <cell r="C87">
            <v>335</v>
          </cell>
        </row>
        <row r="93">
          <cell r="C93">
            <v>411</v>
          </cell>
        </row>
        <row r="96">
          <cell r="C96">
            <v>414</v>
          </cell>
        </row>
        <row r="97">
          <cell r="C97">
            <v>415</v>
          </cell>
        </row>
        <row r="98">
          <cell r="C98">
            <v>421</v>
          </cell>
        </row>
        <row r="99">
          <cell r="C99">
            <v>441</v>
          </cell>
        </row>
        <row r="101">
          <cell r="C101">
            <v>416</v>
          </cell>
        </row>
        <row r="102">
          <cell r="C102">
            <v>431</v>
          </cell>
        </row>
        <row r="103">
          <cell r="C103">
            <v>451</v>
          </cell>
        </row>
        <row r="111">
          <cell r="A111" t="str">
            <v>CAÏC CHÈ TIÃU NGOAÌI BAÍNG CÁN ÂÄÚI KÃÚ TOAÏN</v>
          </cell>
        </row>
        <row r="113">
          <cell r="A113" t="str">
            <v>Chè tiãu</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KHDT-TCHUC"/>
      <sheetName val="MAU"/>
      <sheetName val="DKLOC"/>
      <sheetName val="DANHSACHCC"/>
      <sheetName val="THIKTV"/>
      <sheetName val="STIENDO"/>
      <sheetName val="TKB_CHUNGCHI"/>
      <sheetName val="TKB_CHINHQUY"/>
      <sheetName val="KEHOACH"/>
      <sheetName val="ChuongTrinhCC"/>
      <sheetName val="ChuongTrinhTC"/>
      <sheetName val="KHDTCC"/>
      <sheetName val="GVCH"/>
      <sheetName val="GVTG"/>
      <sheetName val="TCTC-THKT"/>
      <sheetName val="CTTC"/>
      <sheetName val="KHDTTC"/>
      <sheetName val="DanhgiaCL"/>
      <sheetName val="00000000"/>
      <sheetName val="10000000"/>
      <sheetName val="20000000"/>
      <sheetName val="XL4Poppy"/>
    </sheetNames>
    <sheetDataSet>
      <sheetData sheetId="0"/>
      <sheetData sheetId="1"/>
      <sheetData sheetId="2"/>
      <sheetData sheetId="3"/>
      <sheetData sheetId="4"/>
      <sheetData sheetId="5"/>
      <sheetData sheetId="6"/>
      <sheetData sheetId="7"/>
      <sheetData sheetId="8"/>
      <sheetData sheetId="9"/>
      <sheetData sheetId="10"/>
      <sheetData sheetId="11">
        <row r="4">
          <cell r="L4">
            <v>2.5</v>
          </cell>
          <cell r="N4">
            <v>2.5</v>
          </cell>
          <cell r="P4">
            <v>5</v>
          </cell>
        </row>
      </sheetData>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sheetPr codeName="Sheet15"/>
  <dimension ref="A1:H32"/>
  <sheetViews>
    <sheetView workbookViewId="0">
      <selection activeCell="B18" sqref="B18"/>
    </sheetView>
  </sheetViews>
  <sheetFormatPr defaultRowHeight="15"/>
  <cols>
    <col min="1" max="1" width="42.7109375" customWidth="1"/>
    <col min="2" max="2" width="11.28515625" customWidth="1"/>
    <col min="3" max="3" width="13.28515625" customWidth="1"/>
    <col min="4" max="4" width="10.7109375" customWidth="1"/>
    <col min="5" max="5" width="8.42578125" customWidth="1"/>
    <col min="6" max="6" width="8.28515625" customWidth="1"/>
    <col min="8" max="8" width="14.140625" bestFit="1" customWidth="1"/>
  </cols>
  <sheetData>
    <row r="1" spans="1:3">
      <c r="A1" t="s">
        <v>26</v>
      </c>
    </row>
    <row r="2" spans="1:3">
      <c r="A2" t="s">
        <v>34</v>
      </c>
      <c r="B2" t="s">
        <v>72</v>
      </c>
    </row>
    <row r="3" spans="1:3">
      <c r="A3" t="s">
        <v>44</v>
      </c>
      <c r="B3" t="s">
        <v>72</v>
      </c>
    </row>
    <row r="4" spans="1:3">
      <c r="A4" t="s">
        <v>254</v>
      </c>
    </row>
    <row r="5" spans="1:3">
      <c r="A5" t="s">
        <v>50</v>
      </c>
      <c r="B5" t="s">
        <v>33</v>
      </c>
      <c r="C5" t="s">
        <v>64</v>
      </c>
    </row>
    <row r="6" spans="1:3">
      <c r="A6" t="s">
        <v>52</v>
      </c>
      <c r="B6" t="s">
        <v>33</v>
      </c>
      <c r="C6" t="s">
        <v>65</v>
      </c>
    </row>
    <row r="7" spans="1:3">
      <c r="A7" t="s">
        <v>51</v>
      </c>
      <c r="B7" t="s">
        <v>33</v>
      </c>
      <c r="C7" t="s">
        <v>66</v>
      </c>
    </row>
    <row r="8" spans="1:3">
      <c r="A8" t="s">
        <v>4</v>
      </c>
    </row>
    <row r="9" spans="1:3">
      <c r="A9" t="s">
        <v>18</v>
      </c>
      <c r="B9" t="e">
        <f>#REF!</f>
        <v>#REF!</v>
      </c>
    </row>
    <row r="10" spans="1:3">
      <c r="A10" t="s">
        <v>17</v>
      </c>
      <c r="B10" t="e">
        <f>#REF!</f>
        <v>#REF!</v>
      </c>
    </row>
    <row r="11" spans="1:3">
      <c r="A11" t="s">
        <v>19</v>
      </c>
    </row>
    <row r="12" spans="1:3">
      <c r="A12" t="s">
        <v>20</v>
      </c>
      <c r="B12" t="e">
        <f>#REF!</f>
        <v>#REF!</v>
      </c>
    </row>
    <row r="13" spans="1:3">
      <c r="A13" t="s">
        <v>23</v>
      </c>
      <c r="B13" t="e">
        <f>#REF!</f>
        <v>#REF!</v>
      </c>
    </row>
    <row r="14" spans="1:3">
      <c r="A14" t="s">
        <v>21</v>
      </c>
      <c r="B14" t="e">
        <f>#REF!</f>
        <v>#REF!</v>
      </c>
    </row>
    <row r="15" spans="1:3">
      <c r="A15" t="s">
        <v>22</v>
      </c>
      <c r="B15" t="e">
        <f>#REF!</f>
        <v>#REF!</v>
      </c>
    </row>
    <row r="16" spans="1:3">
      <c r="A16" t="s">
        <v>24</v>
      </c>
      <c r="B16" t="e">
        <f>#REF!</f>
        <v>#REF!</v>
      </c>
    </row>
    <row r="17" spans="1:8">
      <c r="A17" t="s">
        <v>42</v>
      </c>
      <c r="B17" t="e">
        <f>#REF!</f>
        <v>#REF!</v>
      </c>
    </row>
    <row r="18" spans="1:8">
      <c r="A18" t="s">
        <v>27</v>
      </c>
    </row>
    <row r="19" spans="1:8">
      <c r="A19" t="s">
        <v>29</v>
      </c>
    </row>
    <row r="20" spans="1:8">
      <c r="A20" s="54" t="s">
        <v>25</v>
      </c>
      <c r="B20" s="54" t="s">
        <v>45</v>
      </c>
      <c r="C20" s="54" t="s">
        <v>29</v>
      </c>
      <c r="D20" s="54" t="s">
        <v>41</v>
      </c>
      <c r="E20" s="54" t="s">
        <v>7</v>
      </c>
      <c r="F20" s="54" t="s">
        <v>46</v>
      </c>
      <c r="G20" s="54" t="s">
        <v>39</v>
      </c>
      <c r="H20" s="54" t="s">
        <v>32</v>
      </c>
    </row>
    <row r="21" spans="1:8">
      <c r="A21" t="s">
        <v>49</v>
      </c>
    </row>
    <row r="22" spans="1:8">
      <c r="A22" t="s">
        <v>48</v>
      </c>
    </row>
    <row r="23" spans="1:8">
      <c r="A23" t="s">
        <v>53</v>
      </c>
    </row>
    <row r="24" spans="1:8">
      <c r="A24" t="s">
        <v>54</v>
      </c>
    </row>
    <row r="25" spans="1:8">
      <c r="A25" t="s">
        <v>55</v>
      </c>
    </row>
    <row r="26" spans="1:8">
      <c r="A26" t="s">
        <v>57</v>
      </c>
    </row>
    <row r="27" spans="1:8">
      <c r="A27" t="s">
        <v>59</v>
      </c>
    </row>
    <row r="28" spans="1:8">
      <c r="A28" t="s">
        <v>56</v>
      </c>
    </row>
    <row r="29" spans="1:8">
      <c r="A29" t="s">
        <v>58</v>
      </c>
    </row>
    <row r="30" spans="1:8">
      <c r="A30" t="s">
        <v>62</v>
      </c>
    </row>
    <row r="32" spans="1:8">
      <c r="B32" s="64"/>
    </row>
  </sheetData>
  <phoneticPr fontId="7"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sheetPr codeName="Sheet17"/>
  <dimension ref="A1:J261"/>
  <sheetViews>
    <sheetView topLeftCell="A4" workbookViewId="0"/>
  </sheetViews>
  <sheetFormatPr defaultRowHeight="15"/>
  <cols>
    <col min="1" max="1" width="4.42578125" style="3" bestFit="1" customWidth="1"/>
    <col min="2" max="2" width="10.85546875" style="3" customWidth="1"/>
    <col min="3" max="3" width="3.5703125" style="3" hidden="1" customWidth="1"/>
    <col min="4" max="4" width="36.140625" style="1" customWidth="1"/>
    <col min="5" max="5" width="8" style="3" customWidth="1"/>
    <col min="6" max="6" width="11.42578125" style="36" customWidth="1"/>
    <col min="7" max="7" width="13.7109375" style="2" customWidth="1"/>
    <col min="8" max="8" width="12.85546875" style="8" customWidth="1"/>
    <col min="9" max="10" width="9.140625" style="10"/>
    <col min="11" max="16384" width="9.140625" style="1"/>
  </cols>
  <sheetData>
    <row r="1" spans="1:10" ht="30" customHeight="1">
      <c r="A1" s="7" t="s">
        <v>37</v>
      </c>
      <c r="B1" s="4"/>
      <c r="C1" s="4"/>
      <c r="D1" s="4"/>
      <c r="E1" s="4"/>
      <c r="F1" s="34"/>
      <c r="G1" s="19"/>
      <c r="H1" s="9"/>
    </row>
    <row r="2" spans="1:10" ht="18" customHeight="1">
      <c r="A2" s="5" t="str">
        <f>DULIEUDAUVAO!A2&amp;DULIEUDAUVAO!B2</f>
        <v>Công trình :Dự toán mẫu</v>
      </c>
      <c r="B2" s="6"/>
      <c r="C2" s="6"/>
      <c r="D2" s="5"/>
      <c r="E2" s="5"/>
      <c r="F2" s="35"/>
      <c r="G2" s="30"/>
      <c r="H2" s="11"/>
    </row>
    <row r="3" spans="1:10" ht="18" customHeight="1">
      <c r="A3" s="5" t="str">
        <f>DULIEUDAUVAO!A3&amp;DULIEUDAUVAO!B3</f>
        <v>Hạng mục :Dự toán mẫu</v>
      </c>
      <c r="B3" s="6"/>
      <c r="C3" s="6"/>
      <c r="D3" s="5"/>
      <c r="E3" s="5"/>
      <c r="F3" s="35"/>
      <c r="G3" s="30"/>
      <c r="H3" s="11"/>
    </row>
    <row r="4" spans="1:10" ht="18" customHeight="1" thickBot="1"/>
    <row r="5" spans="1:10" ht="18" customHeight="1" thickBot="1">
      <c r="A5" s="20" t="s">
        <v>25</v>
      </c>
      <c r="B5" s="21" t="s">
        <v>40</v>
      </c>
      <c r="C5" s="21" t="s">
        <v>35</v>
      </c>
      <c r="D5" s="22" t="s">
        <v>28</v>
      </c>
      <c r="E5" s="22" t="s">
        <v>29</v>
      </c>
      <c r="F5" s="37" t="s">
        <v>41</v>
      </c>
      <c r="G5" s="31" t="s">
        <v>7</v>
      </c>
      <c r="H5" s="23" t="s">
        <v>0</v>
      </c>
      <c r="I5" s="13"/>
      <c r="J5" s="12"/>
    </row>
    <row r="6" spans="1:10">
      <c r="A6" s="209" t="e">
        <f>#REF!</f>
        <v>#REF!</v>
      </c>
      <c r="B6" s="210" t="s">
        <v>11</v>
      </c>
      <c r="C6" s="210"/>
      <c r="D6" s="211" t="s">
        <v>176</v>
      </c>
      <c r="E6" s="210"/>
      <c r="F6" s="212"/>
      <c r="G6" s="213"/>
      <c r="H6" s="214" t="e">
        <f>#REF!</f>
        <v>#REF!</v>
      </c>
    </row>
    <row r="7" spans="1:10">
      <c r="A7" s="215" t="e">
        <f>#REF!</f>
        <v>#REF!</v>
      </c>
      <c r="B7" s="216" t="s">
        <v>255</v>
      </c>
      <c r="C7" s="216"/>
      <c r="D7" s="217" t="s">
        <v>177</v>
      </c>
      <c r="E7" s="216" t="s">
        <v>70</v>
      </c>
      <c r="F7" s="218"/>
      <c r="G7" s="219"/>
      <c r="H7" s="220" t="e">
        <f>#REF!</f>
        <v>#REF!</v>
      </c>
    </row>
    <row r="8" spans="1:10">
      <c r="A8" s="26"/>
      <c r="B8" s="27"/>
      <c r="C8" s="27">
        <v>2</v>
      </c>
      <c r="D8" s="28" t="s">
        <v>174</v>
      </c>
      <c r="E8" s="27" t="s">
        <v>5</v>
      </c>
      <c r="F8" s="38">
        <v>0.5</v>
      </c>
      <c r="G8" s="32" t="e">
        <f>VLOOKUP(DGXDCT_1!$D$8,#REF!,4,0)</f>
        <v>#REF!</v>
      </c>
      <c r="H8" s="29"/>
    </row>
    <row r="9" spans="1:10">
      <c r="A9" s="68"/>
      <c r="B9" s="69"/>
      <c r="C9" s="69">
        <v>3</v>
      </c>
      <c r="D9" s="70" t="s">
        <v>259</v>
      </c>
      <c r="E9" s="69" t="s">
        <v>6</v>
      </c>
      <c r="F9" s="71">
        <v>0.41599999999999998</v>
      </c>
      <c r="G9" s="72" t="e">
        <f>VLOOKUP(DGXDCT_1!$D$9,#REF!,4,0)</f>
        <v>#REF!</v>
      </c>
      <c r="H9" s="73"/>
    </row>
    <row r="10" spans="1:10">
      <c r="A10" s="68"/>
      <c r="B10" s="69"/>
      <c r="C10" s="69">
        <v>3</v>
      </c>
      <c r="D10" s="70" t="s">
        <v>175</v>
      </c>
      <c r="E10" s="69" t="s">
        <v>6</v>
      </c>
      <c r="F10" s="71">
        <v>2.7E-2</v>
      </c>
      <c r="G10" s="72" t="e">
        <f>VLOOKUP(DGXDCT_1!$D$10,#REF!,4,0)</f>
        <v>#REF!</v>
      </c>
      <c r="H10" s="73"/>
    </row>
    <row r="11" spans="1:10">
      <c r="A11" s="215" t="e">
        <f>#REF!</f>
        <v>#REF!</v>
      </c>
      <c r="B11" s="216" t="s">
        <v>255</v>
      </c>
      <c r="C11" s="216"/>
      <c r="D11" s="217" t="s">
        <v>257</v>
      </c>
      <c r="E11" s="216" t="s">
        <v>70</v>
      </c>
      <c r="F11" s="218"/>
      <c r="G11" s="219"/>
      <c r="H11" s="220" t="e">
        <f>#REF!</f>
        <v>#REF!</v>
      </c>
    </row>
    <row r="12" spans="1:10">
      <c r="A12" s="26"/>
      <c r="B12" s="27"/>
      <c r="C12" s="27">
        <v>2</v>
      </c>
      <c r="D12" s="28" t="s">
        <v>174</v>
      </c>
      <c r="E12" s="27" t="s">
        <v>5</v>
      </c>
      <c r="F12" s="38">
        <v>0.5</v>
      </c>
      <c r="G12" s="32" t="e">
        <f>VLOOKUP(DGXDCT_1!$D$12,#REF!,4,0)</f>
        <v>#REF!</v>
      </c>
      <c r="H12" s="29"/>
    </row>
    <row r="13" spans="1:10">
      <c r="A13" s="68"/>
      <c r="B13" s="69"/>
      <c r="C13" s="69">
        <v>3</v>
      </c>
      <c r="D13" s="70" t="s">
        <v>259</v>
      </c>
      <c r="E13" s="69" t="s">
        <v>6</v>
      </c>
      <c r="F13" s="71">
        <v>0.41599999999999998</v>
      </c>
      <c r="G13" s="72" t="e">
        <f>VLOOKUP(DGXDCT_1!$D$13,#REF!,4,0)</f>
        <v>#REF!</v>
      </c>
      <c r="H13" s="73"/>
    </row>
    <row r="14" spans="1:10">
      <c r="A14" s="68"/>
      <c r="B14" s="69"/>
      <c r="C14" s="69">
        <v>3</v>
      </c>
      <c r="D14" s="70" t="s">
        <v>175</v>
      </c>
      <c r="E14" s="69" t="s">
        <v>6</v>
      </c>
      <c r="F14" s="71">
        <v>2.7E-2</v>
      </c>
      <c r="G14" s="72" t="e">
        <f>VLOOKUP(DGXDCT_1!$D$14,#REF!,4,0)</f>
        <v>#REF!</v>
      </c>
      <c r="H14" s="73"/>
    </row>
    <row r="15" spans="1:10">
      <c r="A15" s="215" t="e">
        <f>#REF!</f>
        <v>#REF!</v>
      </c>
      <c r="B15" s="216" t="s">
        <v>178</v>
      </c>
      <c r="C15" s="216"/>
      <c r="D15" s="217" t="s">
        <v>258</v>
      </c>
      <c r="E15" s="216" t="s">
        <v>70</v>
      </c>
      <c r="F15" s="218"/>
      <c r="G15" s="219"/>
      <c r="H15" s="220" t="e">
        <f>#REF!</f>
        <v>#REF!</v>
      </c>
    </row>
    <row r="16" spans="1:10">
      <c r="A16" s="26"/>
      <c r="B16" s="27"/>
      <c r="C16" s="27">
        <v>2</v>
      </c>
      <c r="D16" s="28" t="s">
        <v>174</v>
      </c>
      <c r="E16" s="27" t="s">
        <v>5</v>
      </c>
      <c r="F16" s="38">
        <v>1.74</v>
      </c>
      <c r="G16" s="32" t="e">
        <f>VLOOKUP(DGXDCT_1!$D$16,#REF!,4,0)</f>
        <v>#REF!</v>
      </c>
      <c r="H16" s="29"/>
    </row>
    <row r="17" spans="1:8">
      <c r="A17" s="68"/>
      <c r="B17" s="69"/>
      <c r="C17" s="69">
        <v>3</v>
      </c>
      <c r="D17" s="70" t="s">
        <v>260</v>
      </c>
      <c r="E17" s="69" t="s">
        <v>6</v>
      </c>
      <c r="F17" s="71">
        <v>0.41499999999999998</v>
      </c>
      <c r="G17" s="72" t="e">
        <f>VLOOKUP(DGXDCT_1!$D$17,#REF!,4,0)</f>
        <v>#REF!</v>
      </c>
      <c r="H17" s="73"/>
    </row>
    <row r="18" spans="1:8">
      <c r="A18" s="68"/>
      <c r="B18" s="69"/>
      <c r="C18" s="69">
        <v>3</v>
      </c>
      <c r="D18" s="70" t="s">
        <v>261</v>
      </c>
      <c r="E18" s="69" t="s">
        <v>6</v>
      </c>
      <c r="F18" s="71">
        <v>4.42</v>
      </c>
      <c r="G18" s="72" t="e">
        <f>VLOOKUP(DGXDCT_1!$D$18,#REF!,4,0)</f>
        <v>#REF!</v>
      </c>
      <c r="H18" s="73"/>
    </row>
    <row r="19" spans="1:8">
      <c r="A19" s="215" t="e">
        <f>#REF!</f>
        <v>#REF!</v>
      </c>
      <c r="B19" s="216" t="s">
        <v>255</v>
      </c>
      <c r="C19" s="216"/>
      <c r="D19" s="217" t="s">
        <v>179</v>
      </c>
      <c r="E19" s="216" t="s">
        <v>70</v>
      </c>
      <c r="F19" s="218"/>
      <c r="G19" s="219"/>
      <c r="H19" s="220" t="e">
        <f>#REF!</f>
        <v>#REF!</v>
      </c>
    </row>
    <row r="20" spans="1:8">
      <c r="A20" s="26"/>
      <c r="B20" s="27"/>
      <c r="C20" s="27">
        <v>2</v>
      </c>
      <c r="D20" s="28" t="s">
        <v>174</v>
      </c>
      <c r="E20" s="27" t="s">
        <v>5</v>
      </c>
      <c r="F20" s="38">
        <v>0.5</v>
      </c>
      <c r="G20" s="32" t="e">
        <f>VLOOKUP(DGXDCT_1!$D$20,#REF!,4,0)</f>
        <v>#REF!</v>
      </c>
      <c r="H20" s="29"/>
    </row>
    <row r="21" spans="1:8">
      <c r="A21" s="68"/>
      <c r="B21" s="69"/>
      <c r="C21" s="69">
        <v>3</v>
      </c>
      <c r="D21" s="70" t="s">
        <v>259</v>
      </c>
      <c r="E21" s="69" t="s">
        <v>6</v>
      </c>
      <c r="F21" s="71">
        <v>0.41599999999999998</v>
      </c>
      <c r="G21" s="72" t="e">
        <f>VLOOKUP(DGXDCT_1!$D$21,#REF!,4,0)</f>
        <v>#REF!</v>
      </c>
      <c r="H21" s="73"/>
    </row>
    <row r="22" spans="1:8">
      <c r="A22" s="68"/>
      <c r="B22" s="69"/>
      <c r="C22" s="69">
        <v>3</v>
      </c>
      <c r="D22" s="70" t="s">
        <v>175</v>
      </c>
      <c r="E22" s="69" t="s">
        <v>6</v>
      </c>
      <c r="F22" s="71">
        <v>2.7E-2</v>
      </c>
      <c r="G22" s="72" t="e">
        <f>VLOOKUP(DGXDCT_1!$D$22,#REF!,4,0)</f>
        <v>#REF!</v>
      </c>
      <c r="H22" s="73"/>
    </row>
    <row r="23" spans="1:8">
      <c r="A23" s="215" t="e">
        <f>#REF!</f>
        <v>#REF!</v>
      </c>
      <c r="B23" s="216" t="s">
        <v>180</v>
      </c>
      <c r="C23" s="216"/>
      <c r="D23" s="217" t="s">
        <v>181</v>
      </c>
      <c r="E23" s="216" t="s">
        <v>70</v>
      </c>
      <c r="F23" s="218"/>
      <c r="G23" s="219"/>
      <c r="H23" s="220" t="e">
        <f>#REF!</f>
        <v>#REF!</v>
      </c>
    </row>
    <row r="24" spans="1:8">
      <c r="A24" s="68"/>
      <c r="B24" s="69"/>
      <c r="C24" s="69">
        <v>3</v>
      </c>
      <c r="D24" s="70" t="s">
        <v>262</v>
      </c>
      <c r="E24" s="69" t="s">
        <v>6</v>
      </c>
      <c r="F24" s="71">
        <v>1.7709999999999999</v>
      </c>
      <c r="G24" s="72" t="e">
        <f>VLOOKUP(DGXDCT_1!$D$24,#REF!,4,0)</f>
        <v>#REF!</v>
      </c>
      <c r="H24" s="73"/>
    </row>
    <row r="25" spans="1:8">
      <c r="A25" s="215" t="e">
        <f>#REF!</f>
        <v>#REF!</v>
      </c>
      <c r="B25" s="216" t="s">
        <v>182</v>
      </c>
      <c r="C25" s="216"/>
      <c r="D25" s="217" t="s">
        <v>183</v>
      </c>
      <c r="E25" s="216" t="s">
        <v>67</v>
      </c>
      <c r="F25" s="218"/>
      <c r="G25" s="219"/>
      <c r="H25" s="220" t="e">
        <f>#REF!</f>
        <v>#REF!</v>
      </c>
    </row>
    <row r="26" spans="1:8">
      <c r="A26" s="26"/>
      <c r="B26" s="27"/>
      <c r="C26" s="27">
        <v>2</v>
      </c>
      <c r="D26" s="28" t="s">
        <v>173</v>
      </c>
      <c r="E26" s="27" t="s">
        <v>5</v>
      </c>
      <c r="F26" s="38">
        <v>1.2</v>
      </c>
      <c r="G26" s="32" t="e">
        <f>VLOOKUP(DGXDCT_1!$D$26,#REF!,4,0)</f>
        <v>#REF!</v>
      </c>
      <c r="H26" s="29"/>
    </row>
    <row r="27" spans="1:8">
      <c r="A27" s="68"/>
      <c r="B27" s="69"/>
      <c r="C27" s="69">
        <v>3</v>
      </c>
      <c r="D27" s="70" t="s">
        <v>263</v>
      </c>
      <c r="E27" s="69" t="s">
        <v>6</v>
      </c>
      <c r="F27" s="71">
        <v>0.15</v>
      </c>
      <c r="G27" s="72" t="e">
        <f>VLOOKUP(DGXDCT_1!$D$27,#REF!,4,0)</f>
        <v>#REF!</v>
      </c>
      <c r="H27" s="73"/>
    </row>
    <row r="28" spans="1:8">
      <c r="A28" s="68"/>
      <c r="B28" s="69"/>
      <c r="C28" s="69">
        <v>3</v>
      </c>
      <c r="D28" s="70" t="s">
        <v>264</v>
      </c>
      <c r="E28" s="69" t="s">
        <v>6</v>
      </c>
      <c r="F28" s="71">
        <v>0.3</v>
      </c>
      <c r="G28" s="72" t="e">
        <f>VLOOKUP(DGXDCT_1!$D$28,#REF!,4,0)</f>
        <v>#REF!</v>
      </c>
      <c r="H28" s="73"/>
    </row>
    <row r="29" spans="1:8">
      <c r="A29" s="68"/>
      <c r="B29" s="69"/>
      <c r="C29" s="69">
        <v>3</v>
      </c>
      <c r="D29" s="70" t="s">
        <v>265</v>
      </c>
      <c r="E29" s="69" t="s">
        <v>6</v>
      </c>
      <c r="F29" s="71">
        <v>0.15</v>
      </c>
      <c r="G29" s="72" t="e">
        <f>VLOOKUP(DGXDCT_1!$D$29,#REF!,4,0)</f>
        <v>#REF!</v>
      </c>
      <c r="H29" s="73"/>
    </row>
    <row r="30" spans="1:8">
      <c r="A30" s="68"/>
      <c r="B30" s="69"/>
      <c r="C30" s="69">
        <v>3</v>
      </c>
      <c r="D30" s="70" t="s">
        <v>63</v>
      </c>
      <c r="E30" s="69" t="s">
        <v>31</v>
      </c>
      <c r="F30" s="71">
        <v>2</v>
      </c>
      <c r="G30" s="72" t="e">
        <f>VLOOKUP(DGXDCT_1!$D$30,#REF!,4,0)</f>
        <v>#REF!</v>
      </c>
      <c r="H30" s="73"/>
    </row>
    <row r="31" spans="1:8">
      <c r="A31" s="215" t="e">
        <f>#REF!</f>
        <v>#REF!</v>
      </c>
      <c r="B31" s="216" t="s">
        <v>184</v>
      </c>
      <c r="C31" s="216"/>
      <c r="D31" s="217" t="s">
        <v>185</v>
      </c>
      <c r="E31" s="216" t="s">
        <v>70</v>
      </c>
      <c r="F31" s="218"/>
      <c r="G31" s="219"/>
      <c r="H31" s="220" t="e">
        <f>#REF!</f>
        <v>#REF!</v>
      </c>
    </row>
    <row r="32" spans="1:8">
      <c r="A32" s="76"/>
      <c r="B32" s="77"/>
      <c r="C32" s="77">
        <v>1</v>
      </c>
      <c r="D32" s="78" t="s">
        <v>266</v>
      </c>
      <c r="E32" s="77" t="s">
        <v>30</v>
      </c>
      <c r="F32" s="79">
        <v>142</v>
      </c>
      <c r="G32" s="80" t="e">
        <f>VLOOKUP(DGXDCT_1!$D$32,#REF!,4,0)</f>
        <v>#REF!</v>
      </c>
      <c r="H32" s="81"/>
    </row>
    <row r="33" spans="1:8">
      <c r="A33" s="26"/>
      <c r="B33" s="27"/>
      <c r="C33" s="27">
        <v>2</v>
      </c>
      <c r="D33" s="28" t="s">
        <v>267</v>
      </c>
      <c r="E33" s="27" t="s">
        <v>5</v>
      </c>
      <c r="F33" s="38">
        <v>3.9</v>
      </c>
      <c r="G33" s="32" t="e">
        <f>VLOOKUP(DGXDCT_1!$D$33,#REF!,4,0)</f>
        <v>#REF!</v>
      </c>
      <c r="H33" s="29"/>
    </row>
    <row r="34" spans="1:8">
      <c r="A34" s="68"/>
      <c r="B34" s="69"/>
      <c r="C34" s="69">
        <v>3</v>
      </c>
      <c r="D34" s="70" t="s">
        <v>175</v>
      </c>
      <c r="E34" s="69" t="s">
        <v>6</v>
      </c>
      <c r="F34" s="71">
        <v>0.42</v>
      </c>
      <c r="G34" s="72" t="e">
        <f>VLOOKUP(DGXDCT_1!$D$34,#REF!,4,0)</f>
        <v>#REF!</v>
      </c>
      <c r="H34" s="73"/>
    </row>
    <row r="35" spans="1:8">
      <c r="A35" s="68"/>
      <c r="B35" s="69"/>
      <c r="C35" s="69">
        <v>3</v>
      </c>
      <c r="D35" s="70" t="s">
        <v>265</v>
      </c>
      <c r="E35" s="69" t="s">
        <v>6</v>
      </c>
      <c r="F35" s="71">
        <v>0.08</v>
      </c>
      <c r="G35" s="72" t="e">
        <f>VLOOKUP(DGXDCT_1!$D$35,#REF!,4,0)</f>
        <v>#REF!</v>
      </c>
      <c r="H35" s="73"/>
    </row>
    <row r="36" spans="1:8">
      <c r="A36" s="68"/>
      <c r="B36" s="69"/>
      <c r="C36" s="69">
        <v>3</v>
      </c>
      <c r="D36" s="70" t="s">
        <v>268</v>
      </c>
      <c r="E36" s="69" t="s">
        <v>6</v>
      </c>
      <c r="F36" s="71">
        <v>0.21</v>
      </c>
      <c r="G36" s="72" t="e">
        <f>VLOOKUP(DGXDCT_1!$D$36,#REF!,4,0)</f>
        <v>#REF!</v>
      </c>
      <c r="H36" s="73"/>
    </row>
    <row r="37" spans="1:8">
      <c r="A37" s="68"/>
      <c r="B37" s="69"/>
      <c r="C37" s="69">
        <v>3</v>
      </c>
      <c r="D37" s="70" t="s">
        <v>269</v>
      </c>
      <c r="E37" s="69" t="s">
        <v>6</v>
      </c>
      <c r="F37" s="71">
        <v>0.34</v>
      </c>
      <c r="G37" s="72" t="e">
        <f>VLOOKUP(DGXDCT_1!$D$37,#REF!,4,0)</f>
        <v>#REF!</v>
      </c>
      <c r="H37" s="73"/>
    </row>
    <row r="38" spans="1:8">
      <c r="A38" s="68"/>
      <c r="B38" s="69"/>
      <c r="C38" s="69">
        <v>3</v>
      </c>
      <c r="D38" s="70" t="s">
        <v>270</v>
      </c>
      <c r="E38" s="69" t="s">
        <v>6</v>
      </c>
      <c r="F38" s="71">
        <v>0.21</v>
      </c>
      <c r="G38" s="72" t="e">
        <f>VLOOKUP(DGXDCT_1!$D$38,#REF!,4,0)</f>
        <v>#REF!</v>
      </c>
      <c r="H38" s="73"/>
    </row>
    <row r="39" spans="1:8">
      <c r="A39" s="68"/>
      <c r="B39" s="69"/>
      <c r="C39" s="69">
        <v>3</v>
      </c>
      <c r="D39" s="70" t="s">
        <v>263</v>
      </c>
      <c r="E39" s="69" t="s">
        <v>6</v>
      </c>
      <c r="F39" s="71">
        <v>0.21</v>
      </c>
      <c r="G39" s="72" t="e">
        <f>VLOOKUP(DGXDCT_1!$D$39,#REF!,4,0)</f>
        <v>#REF!</v>
      </c>
      <c r="H39" s="73"/>
    </row>
    <row r="40" spans="1:8">
      <c r="A40" s="68"/>
      <c r="B40" s="69"/>
      <c r="C40" s="69">
        <v>3</v>
      </c>
      <c r="D40" s="70" t="s">
        <v>63</v>
      </c>
      <c r="E40" s="69" t="s">
        <v>31</v>
      </c>
      <c r="F40" s="71">
        <v>0.5</v>
      </c>
      <c r="G40" s="72" t="e">
        <f>VLOOKUP(DGXDCT_1!$D$40,#REF!,4,0)</f>
        <v>#REF!</v>
      </c>
      <c r="H40" s="73"/>
    </row>
    <row r="41" spans="1:8">
      <c r="A41" s="215" t="e">
        <f>#REF!</f>
        <v>#REF!</v>
      </c>
      <c r="B41" s="216" t="s">
        <v>186</v>
      </c>
      <c r="C41" s="216"/>
      <c r="D41" s="217" t="s">
        <v>187</v>
      </c>
      <c r="E41" s="216" t="s">
        <v>67</v>
      </c>
      <c r="F41" s="218"/>
      <c r="G41" s="219"/>
      <c r="H41" s="220" t="e">
        <f>#REF!</f>
        <v>#REF!</v>
      </c>
    </row>
    <row r="42" spans="1:8">
      <c r="A42" s="76"/>
      <c r="B42" s="77"/>
      <c r="C42" s="77">
        <v>1</v>
      </c>
      <c r="D42" s="78" t="s">
        <v>271</v>
      </c>
      <c r="E42" s="77" t="s">
        <v>88</v>
      </c>
      <c r="F42" s="79">
        <v>110</v>
      </c>
      <c r="G42" s="80" t="e">
        <f>VLOOKUP(DGXDCT_1!$D$42,#REF!,4,0)</f>
        <v>#REF!</v>
      </c>
      <c r="H42" s="81"/>
    </row>
    <row r="43" spans="1:8">
      <c r="A43" s="76"/>
      <c r="B43" s="77"/>
      <c r="C43" s="77">
        <v>1</v>
      </c>
      <c r="D43" s="78" t="s">
        <v>69</v>
      </c>
      <c r="E43" s="77" t="s">
        <v>31</v>
      </c>
      <c r="F43" s="79">
        <v>0.2</v>
      </c>
      <c r="G43" s="80" t="e">
        <f>VLOOKUP(DGXDCT_1!$D$43,#REF!,4,0)</f>
        <v>#REF!</v>
      </c>
      <c r="H43" s="81"/>
    </row>
    <row r="44" spans="1:8">
      <c r="A44" s="26"/>
      <c r="B44" s="27"/>
      <c r="C44" s="27">
        <v>2</v>
      </c>
      <c r="D44" s="28" t="s">
        <v>173</v>
      </c>
      <c r="E44" s="27" t="s">
        <v>5</v>
      </c>
      <c r="F44" s="38">
        <v>1.18</v>
      </c>
      <c r="G44" s="32" t="e">
        <f>VLOOKUP(DGXDCT_1!$D$44,#REF!,4,0)</f>
        <v>#REF!</v>
      </c>
      <c r="H44" s="29"/>
    </row>
    <row r="45" spans="1:8">
      <c r="A45" s="215" t="e">
        <f>#REF!</f>
        <v>#REF!</v>
      </c>
      <c r="B45" s="216" t="s">
        <v>188</v>
      </c>
      <c r="C45" s="216"/>
      <c r="D45" s="217" t="s">
        <v>189</v>
      </c>
      <c r="E45" s="216" t="s">
        <v>67</v>
      </c>
      <c r="F45" s="218"/>
      <c r="G45" s="219"/>
      <c r="H45" s="220" t="e">
        <f>#REF!</f>
        <v>#REF!</v>
      </c>
    </row>
    <row r="46" spans="1:8">
      <c r="A46" s="76"/>
      <c r="B46" s="77"/>
      <c r="C46" s="77">
        <v>1</v>
      </c>
      <c r="D46" s="78" t="s">
        <v>272</v>
      </c>
      <c r="E46" s="77" t="s">
        <v>273</v>
      </c>
      <c r="F46" s="79">
        <v>31.5</v>
      </c>
      <c r="G46" s="80" t="e">
        <f>VLOOKUP(DGXDCT_1!$D$46,#REF!,4,0)</f>
        <v>#REF!</v>
      </c>
      <c r="H46" s="81"/>
    </row>
    <row r="47" spans="1:8">
      <c r="A47" s="76"/>
      <c r="B47" s="77"/>
      <c r="C47" s="77">
        <v>1</v>
      </c>
      <c r="D47" s="78" t="s">
        <v>69</v>
      </c>
      <c r="E47" s="77" t="s">
        <v>31</v>
      </c>
      <c r="F47" s="79">
        <v>5</v>
      </c>
      <c r="G47" s="80" t="e">
        <f>VLOOKUP(DGXDCT_1!$D$47,#REF!,4,0)</f>
        <v>#REF!</v>
      </c>
      <c r="H47" s="81"/>
    </row>
    <row r="48" spans="1:8">
      <c r="A48" s="26"/>
      <c r="B48" s="27"/>
      <c r="C48" s="27">
        <v>2</v>
      </c>
      <c r="D48" s="28" t="s">
        <v>274</v>
      </c>
      <c r="E48" s="27" t="s">
        <v>5</v>
      </c>
      <c r="F48" s="38">
        <v>11.5</v>
      </c>
      <c r="G48" s="32" t="e">
        <f>VLOOKUP(DGXDCT_1!$D$48,#REF!,4,0)</f>
        <v>#REF!</v>
      </c>
      <c r="H48" s="29"/>
    </row>
    <row r="49" spans="1:8">
      <c r="A49" s="215" t="e">
        <f>#REF!</f>
        <v>#REF!</v>
      </c>
      <c r="B49" s="216" t="s">
        <v>190</v>
      </c>
      <c r="C49" s="216"/>
      <c r="D49" s="217" t="s">
        <v>191</v>
      </c>
      <c r="E49" s="216" t="s">
        <v>30</v>
      </c>
      <c r="F49" s="218"/>
      <c r="G49" s="219"/>
      <c r="H49" s="220" t="e">
        <f>#REF!</f>
        <v>#REF!</v>
      </c>
    </row>
    <row r="50" spans="1:8">
      <c r="A50" s="76"/>
      <c r="B50" s="77"/>
      <c r="C50" s="77">
        <v>1</v>
      </c>
      <c r="D50" s="78" t="s">
        <v>275</v>
      </c>
      <c r="E50" s="77" t="s">
        <v>273</v>
      </c>
      <c r="F50" s="79">
        <v>335.17499999999995</v>
      </c>
      <c r="G50" s="80" t="e">
        <f>VLOOKUP(DGXDCT_1!$D$50,#REF!,4,0)</f>
        <v>#REF!</v>
      </c>
      <c r="H50" s="81"/>
    </row>
    <row r="51" spans="1:8">
      <c r="A51" s="76"/>
      <c r="B51" s="77"/>
      <c r="C51" s="77">
        <v>1</v>
      </c>
      <c r="D51" s="78" t="s">
        <v>276</v>
      </c>
      <c r="E51" s="77" t="s">
        <v>30</v>
      </c>
      <c r="F51" s="79">
        <v>0.48687499999999995</v>
      </c>
      <c r="G51" s="80" t="e">
        <f>VLOOKUP(DGXDCT_1!$D$51,#REF!,4,0)</f>
        <v>#REF!</v>
      </c>
      <c r="H51" s="81"/>
    </row>
    <row r="52" spans="1:8">
      <c r="A52" s="76"/>
      <c r="B52" s="77"/>
      <c r="C52" s="77">
        <v>1</v>
      </c>
      <c r="D52" s="78" t="s">
        <v>277</v>
      </c>
      <c r="E52" s="77" t="s">
        <v>30</v>
      </c>
      <c r="F52" s="79">
        <v>0.90302499999999997</v>
      </c>
      <c r="G52" s="80" t="e">
        <f>VLOOKUP(DGXDCT_1!$D$52,#REF!,4,0)</f>
        <v>#REF!</v>
      </c>
      <c r="H52" s="81"/>
    </row>
    <row r="53" spans="1:8">
      <c r="A53" s="76"/>
      <c r="B53" s="77"/>
      <c r="C53" s="77">
        <v>1</v>
      </c>
      <c r="D53" s="78" t="s">
        <v>278</v>
      </c>
      <c r="E53" s="77" t="s">
        <v>279</v>
      </c>
      <c r="F53" s="79">
        <v>189.62499999999997</v>
      </c>
      <c r="G53" s="80" t="e">
        <f>VLOOKUP(DGXDCT_1!$D$53,#REF!,4,0)</f>
        <v>#REF!</v>
      </c>
      <c r="H53" s="81"/>
    </row>
    <row r="54" spans="1:8">
      <c r="A54" s="76"/>
      <c r="B54" s="77"/>
      <c r="C54" s="77">
        <v>1</v>
      </c>
      <c r="D54" s="78" t="s">
        <v>280</v>
      </c>
      <c r="E54" s="77" t="s">
        <v>30</v>
      </c>
      <c r="F54" s="79">
        <v>1.4E-2</v>
      </c>
      <c r="G54" s="80" t="e">
        <f>VLOOKUP(DGXDCT_1!$D$54,#REF!,4,0)</f>
        <v>#REF!</v>
      </c>
      <c r="H54" s="81"/>
    </row>
    <row r="55" spans="1:8">
      <c r="A55" s="76"/>
      <c r="B55" s="77"/>
      <c r="C55" s="77">
        <v>1</v>
      </c>
      <c r="D55" s="78" t="s">
        <v>281</v>
      </c>
      <c r="E55" s="77" t="s">
        <v>273</v>
      </c>
      <c r="F55" s="79">
        <v>3.5</v>
      </c>
      <c r="G55" s="80" t="e">
        <f>VLOOKUP(DGXDCT_1!$D$55,#REF!,4,0)</f>
        <v>#REF!</v>
      </c>
      <c r="H55" s="81"/>
    </row>
    <row r="56" spans="1:8">
      <c r="A56" s="76"/>
      <c r="B56" s="77"/>
      <c r="C56" s="77">
        <v>1</v>
      </c>
      <c r="D56" s="78" t="s">
        <v>69</v>
      </c>
      <c r="E56" s="77" t="s">
        <v>31</v>
      </c>
      <c r="F56" s="79">
        <v>1.5</v>
      </c>
      <c r="G56" s="80" t="e">
        <f>VLOOKUP(DGXDCT_1!$D$56,#REF!,4,0)</f>
        <v>#REF!</v>
      </c>
      <c r="H56" s="81"/>
    </row>
    <row r="57" spans="1:8">
      <c r="A57" s="26"/>
      <c r="B57" s="27"/>
      <c r="C57" s="27">
        <v>2</v>
      </c>
      <c r="D57" s="28" t="s">
        <v>267</v>
      </c>
      <c r="E57" s="27" t="s">
        <v>5</v>
      </c>
      <c r="F57" s="38">
        <v>1.82</v>
      </c>
      <c r="G57" s="32" t="e">
        <f>VLOOKUP(DGXDCT_1!$D$57,#REF!,4,0)</f>
        <v>#REF!</v>
      </c>
      <c r="H57" s="29"/>
    </row>
    <row r="58" spans="1:8">
      <c r="A58" s="68"/>
      <c r="B58" s="69"/>
      <c r="C58" s="69">
        <v>3</v>
      </c>
      <c r="D58" s="70" t="s">
        <v>282</v>
      </c>
      <c r="E58" s="69" t="s">
        <v>6</v>
      </c>
      <c r="F58" s="71">
        <v>9.5000000000000001E-2</v>
      </c>
      <c r="G58" s="72" t="e">
        <f>VLOOKUP(DGXDCT_1!$D$58,#REF!,4,0)</f>
        <v>#REF!</v>
      </c>
      <c r="H58" s="73"/>
    </row>
    <row r="59" spans="1:8">
      <c r="A59" s="68"/>
      <c r="B59" s="69"/>
      <c r="C59" s="69">
        <v>3</v>
      </c>
      <c r="D59" s="70" t="s">
        <v>283</v>
      </c>
      <c r="E59" s="69" t="s">
        <v>6</v>
      </c>
      <c r="F59" s="71">
        <v>8.8999999999999996E-2</v>
      </c>
      <c r="G59" s="72" t="e">
        <f>VLOOKUP(DGXDCT_1!$D$59,#REF!,4,0)</f>
        <v>#REF!</v>
      </c>
      <c r="H59" s="73"/>
    </row>
    <row r="60" spans="1:8">
      <c r="A60" s="68"/>
      <c r="B60" s="69"/>
      <c r="C60" s="69">
        <v>3</v>
      </c>
      <c r="D60" s="70" t="s">
        <v>284</v>
      </c>
      <c r="E60" s="69" t="s">
        <v>6</v>
      </c>
      <c r="F60" s="71">
        <v>8.8999999999999996E-2</v>
      </c>
      <c r="G60" s="72" t="e">
        <f>VLOOKUP(DGXDCT_1!$D$60,#REF!,4,0)</f>
        <v>#REF!</v>
      </c>
      <c r="H60" s="73"/>
    </row>
    <row r="61" spans="1:8">
      <c r="A61" s="68"/>
      <c r="B61" s="69"/>
      <c r="C61" s="69">
        <v>3</v>
      </c>
      <c r="D61" s="70" t="s">
        <v>63</v>
      </c>
      <c r="E61" s="69" t="s">
        <v>31</v>
      </c>
      <c r="F61" s="71">
        <v>5</v>
      </c>
      <c r="G61" s="72" t="e">
        <f>VLOOKUP(DGXDCT_1!$D$61,#REF!,4,0)</f>
        <v>#REF!</v>
      </c>
      <c r="H61" s="73"/>
    </row>
    <row r="62" spans="1:8">
      <c r="A62" s="215" t="e">
        <f>#REF!</f>
        <v>#REF!</v>
      </c>
      <c r="B62" s="216" t="s">
        <v>11</v>
      </c>
      <c r="C62" s="216"/>
      <c r="D62" s="217" t="s">
        <v>192</v>
      </c>
      <c r="E62" s="216"/>
      <c r="F62" s="218"/>
      <c r="G62" s="219"/>
      <c r="H62" s="220" t="e">
        <f>#REF!</f>
        <v>#REF!</v>
      </c>
    </row>
    <row r="63" spans="1:8">
      <c r="A63" s="215" t="e">
        <f>#REF!</f>
        <v>#REF!</v>
      </c>
      <c r="B63" s="216" t="s">
        <v>193</v>
      </c>
      <c r="C63" s="216"/>
      <c r="D63" s="217" t="s">
        <v>194</v>
      </c>
      <c r="E63" s="216" t="s">
        <v>195</v>
      </c>
      <c r="F63" s="218"/>
      <c r="G63" s="219"/>
      <c r="H63" s="220" t="e">
        <f>#REF!</f>
        <v>#REF!</v>
      </c>
    </row>
    <row r="64" spans="1:8">
      <c r="A64" s="76"/>
      <c r="B64" s="77"/>
      <c r="C64" s="77">
        <v>1</v>
      </c>
      <c r="D64" s="78" t="s">
        <v>285</v>
      </c>
      <c r="E64" s="77" t="s">
        <v>273</v>
      </c>
      <c r="F64" s="79">
        <v>1005</v>
      </c>
      <c r="G64" s="80" t="e">
        <f>VLOOKUP(DGXDCT_1!$D$64,#REF!,4,0)</f>
        <v>#REF!</v>
      </c>
      <c r="H64" s="81"/>
    </row>
    <row r="65" spans="1:8">
      <c r="A65" s="76"/>
      <c r="B65" s="77"/>
      <c r="C65" s="77">
        <v>1</v>
      </c>
      <c r="D65" s="78" t="s">
        <v>286</v>
      </c>
      <c r="E65" s="77" t="s">
        <v>273</v>
      </c>
      <c r="F65" s="79">
        <v>21.42</v>
      </c>
      <c r="G65" s="80" t="e">
        <f>VLOOKUP(DGXDCT_1!$D$65,#REF!,4,0)</f>
        <v>#REF!</v>
      </c>
      <c r="H65" s="81"/>
    </row>
    <row r="66" spans="1:8">
      <c r="A66" s="26"/>
      <c r="B66" s="27"/>
      <c r="C66" s="27">
        <v>2</v>
      </c>
      <c r="D66" s="28" t="s">
        <v>173</v>
      </c>
      <c r="E66" s="27" t="s">
        <v>5</v>
      </c>
      <c r="F66" s="38">
        <v>14.25</v>
      </c>
      <c r="G66" s="32" t="e">
        <f>VLOOKUP(DGXDCT_1!$D$66,#REF!,4,0)</f>
        <v>#REF!</v>
      </c>
      <c r="H66" s="29"/>
    </row>
    <row r="67" spans="1:8">
      <c r="A67" s="68"/>
      <c r="B67" s="69"/>
      <c r="C67" s="69">
        <v>3</v>
      </c>
      <c r="D67" s="70" t="s">
        <v>287</v>
      </c>
      <c r="E67" s="69" t="s">
        <v>6</v>
      </c>
      <c r="F67" s="71">
        <v>0.4</v>
      </c>
      <c r="G67" s="72" t="e">
        <f>VLOOKUP(DGXDCT_1!$D$67,#REF!,4,0)</f>
        <v>#REF!</v>
      </c>
      <c r="H67" s="73"/>
    </row>
    <row r="68" spans="1:8">
      <c r="A68" s="215" t="e">
        <f>#REF!</f>
        <v>#REF!</v>
      </c>
      <c r="B68" s="216" t="s">
        <v>196</v>
      </c>
      <c r="C68" s="216"/>
      <c r="D68" s="217" t="s">
        <v>197</v>
      </c>
      <c r="E68" s="216" t="s">
        <v>195</v>
      </c>
      <c r="F68" s="218"/>
      <c r="G68" s="219"/>
      <c r="H68" s="220" t="e">
        <f>#REF!</f>
        <v>#REF!</v>
      </c>
    </row>
    <row r="69" spans="1:8">
      <c r="A69" s="76"/>
      <c r="B69" s="77"/>
      <c r="C69" s="77">
        <v>1</v>
      </c>
      <c r="D69" s="78" t="s">
        <v>288</v>
      </c>
      <c r="E69" s="77" t="s">
        <v>273</v>
      </c>
      <c r="F69" s="79">
        <v>1005</v>
      </c>
      <c r="G69" s="80" t="e">
        <f>VLOOKUP(DGXDCT_1!$D$69,#REF!,4,0)</f>
        <v>#REF!</v>
      </c>
      <c r="H69" s="81"/>
    </row>
    <row r="70" spans="1:8">
      <c r="A70" s="76"/>
      <c r="B70" s="77"/>
      <c r="C70" s="77">
        <v>1</v>
      </c>
      <c r="D70" s="78" t="s">
        <v>286</v>
      </c>
      <c r="E70" s="77" t="s">
        <v>273</v>
      </c>
      <c r="F70" s="79">
        <v>21.42</v>
      </c>
      <c r="G70" s="80" t="e">
        <f>VLOOKUP(DGXDCT_1!$D$70,#REF!,4,0)</f>
        <v>#REF!</v>
      </c>
      <c r="H70" s="81"/>
    </row>
    <row r="71" spans="1:8">
      <c r="A71" s="26"/>
      <c r="B71" s="27"/>
      <c r="C71" s="27">
        <v>2</v>
      </c>
      <c r="D71" s="28" t="s">
        <v>173</v>
      </c>
      <c r="E71" s="27" t="s">
        <v>5</v>
      </c>
      <c r="F71" s="38">
        <v>14.25</v>
      </c>
      <c r="G71" s="32" t="e">
        <f>VLOOKUP(DGXDCT_1!$D$71,#REF!,4,0)</f>
        <v>#REF!</v>
      </c>
      <c r="H71" s="29"/>
    </row>
    <row r="72" spans="1:8">
      <c r="A72" s="68"/>
      <c r="B72" s="69"/>
      <c r="C72" s="69">
        <v>3</v>
      </c>
      <c r="D72" s="70" t="s">
        <v>287</v>
      </c>
      <c r="E72" s="69" t="s">
        <v>6</v>
      </c>
      <c r="F72" s="71">
        <v>0.4</v>
      </c>
      <c r="G72" s="72" t="e">
        <f>VLOOKUP(DGXDCT_1!$D$72,#REF!,4,0)</f>
        <v>#REF!</v>
      </c>
      <c r="H72" s="73"/>
    </row>
    <row r="73" spans="1:8">
      <c r="A73" s="215" t="e">
        <f>#REF!</f>
        <v>#REF!</v>
      </c>
      <c r="B73" s="216" t="s">
        <v>198</v>
      </c>
      <c r="C73" s="216"/>
      <c r="D73" s="217" t="s">
        <v>199</v>
      </c>
      <c r="E73" s="216" t="s">
        <v>30</v>
      </c>
      <c r="F73" s="218"/>
      <c r="G73" s="219"/>
      <c r="H73" s="220" t="e">
        <f>#REF!</f>
        <v>#REF!</v>
      </c>
    </row>
    <row r="74" spans="1:8">
      <c r="A74" s="76"/>
      <c r="B74" s="77"/>
      <c r="C74" s="77">
        <v>1</v>
      </c>
      <c r="D74" s="78" t="s">
        <v>275</v>
      </c>
      <c r="E74" s="77" t="s">
        <v>273</v>
      </c>
      <c r="F74" s="79">
        <v>300.44</v>
      </c>
      <c r="G74" s="80" t="e">
        <f>VLOOKUP(DGXDCT_1!$D$74,#REF!,4,0)</f>
        <v>#REF!</v>
      </c>
      <c r="H74" s="81"/>
    </row>
    <row r="75" spans="1:8">
      <c r="A75" s="76"/>
      <c r="B75" s="77"/>
      <c r="C75" s="77">
        <v>1</v>
      </c>
      <c r="D75" s="78" t="s">
        <v>276</v>
      </c>
      <c r="E75" s="77" t="s">
        <v>30</v>
      </c>
      <c r="F75" s="79">
        <v>0.48212499999999991</v>
      </c>
      <c r="G75" s="80" t="e">
        <f>VLOOKUP(DGXDCT_1!$D$75,#REF!,4,0)</f>
        <v>#REF!</v>
      </c>
      <c r="H75" s="81"/>
    </row>
    <row r="76" spans="1:8">
      <c r="A76" s="76"/>
      <c r="B76" s="77"/>
      <c r="C76" s="77">
        <v>1</v>
      </c>
      <c r="D76" s="78" t="s">
        <v>277</v>
      </c>
      <c r="E76" s="77" t="s">
        <v>30</v>
      </c>
      <c r="F76" s="79">
        <v>0.89421499999999987</v>
      </c>
      <c r="G76" s="80" t="e">
        <f>VLOOKUP(DGXDCT_1!$D$76,#REF!,4,0)</f>
        <v>#REF!</v>
      </c>
      <c r="H76" s="81"/>
    </row>
    <row r="77" spans="1:8">
      <c r="A77" s="76"/>
      <c r="B77" s="77"/>
      <c r="C77" s="77">
        <v>1</v>
      </c>
      <c r="D77" s="78" t="s">
        <v>278</v>
      </c>
      <c r="E77" s="77" t="s">
        <v>279</v>
      </c>
      <c r="F77" s="79">
        <v>197.92499999999998</v>
      </c>
      <c r="G77" s="80" t="e">
        <f>VLOOKUP(DGXDCT_1!$D$77,#REF!,4,0)</f>
        <v>#REF!</v>
      </c>
      <c r="H77" s="81"/>
    </row>
    <row r="78" spans="1:8">
      <c r="A78" s="76"/>
      <c r="B78" s="77"/>
      <c r="C78" s="77">
        <v>1</v>
      </c>
      <c r="D78" s="78" t="s">
        <v>69</v>
      </c>
      <c r="E78" s="77" t="s">
        <v>31</v>
      </c>
      <c r="F78" s="79">
        <v>0.5</v>
      </c>
      <c r="G78" s="80" t="e">
        <f>VLOOKUP(DGXDCT_1!$D$78,#REF!,4,0)</f>
        <v>#REF!</v>
      </c>
      <c r="H78" s="81"/>
    </row>
    <row r="79" spans="1:8">
      <c r="A79" s="26"/>
      <c r="B79" s="27"/>
      <c r="C79" s="27">
        <v>2</v>
      </c>
      <c r="D79" s="28" t="s">
        <v>174</v>
      </c>
      <c r="E79" s="27" t="s">
        <v>5</v>
      </c>
      <c r="F79" s="38">
        <v>1.83</v>
      </c>
      <c r="G79" s="32" t="e">
        <f>VLOOKUP(DGXDCT_1!$D$79,#REF!,4,0)</f>
        <v>#REF!</v>
      </c>
      <c r="H79" s="29"/>
    </row>
    <row r="80" spans="1:8">
      <c r="A80" s="68"/>
      <c r="B80" s="69"/>
      <c r="C80" s="69">
        <v>3</v>
      </c>
      <c r="D80" s="70" t="s">
        <v>289</v>
      </c>
      <c r="E80" s="69" t="s">
        <v>6</v>
      </c>
      <c r="F80" s="71">
        <v>9.5000000000000001E-2</v>
      </c>
      <c r="G80" s="72" t="e">
        <f>VLOOKUP(DGXDCT_1!$D$80,#REF!,4,0)</f>
        <v>#REF!</v>
      </c>
      <c r="H80" s="73"/>
    </row>
    <row r="81" spans="1:8">
      <c r="A81" s="68"/>
      <c r="B81" s="69"/>
      <c r="C81" s="69">
        <v>3</v>
      </c>
      <c r="D81" s="70" t="s">
        <v>284</v>
      </c>
      <c r="E81" s="69" t="s">
        <v>6</v>
      </c>
      <c r="F81" s="71">
        <v>0.18</v>
      </c>
      <c r="G81" s="72" t="e">
        <f>VLOOKUP(DGXDCT_1!$D$81,#REF!,4,0)</f>
        <v>#REF!</v>
      </c>
      <c r="H81" s="73"/>
    </row>
    <row r="82" spans="1:8">
      <c r="A82" s="68"/>
      <c r="B82" s="69"/>
      <c r="C82" s="69">
        <v>3</v>
      </c>
      <c r="D82" s="70" t="s">
        <v>63</v>
      </c>
      <c r="E82" s="69" t="s">
        <v>31</v>
      </c>
      <c r="F82" s="71">
        <v>10</v>
      </c>
      <c r="G82" s="72" t="e">
        <f>VLOOKUP(DGXDCT_1!$D$82,#REF!,4,0)</f>
        <v>#REF!</v>
      </c>
      <c r="H82" s="73"/>
    </row>
    <row r="83" spans="1:8">
      <c r="A83" s="215" t="e">
        <f>#REF!</f>
        <v>#REF!</v>
      </c>
      <c r="B83" s="216" t="s">
        <v>200</v>
      </c>
      <c r="C83" s="216"/>
      <c r="D83" s="217" t="s">
        <v>201</v>
      </c>
      <c r="E83" s="216" t="s">
        <v>67</v>
      </c>
      <c r="F83" s="218"/>
      <c r="G83" s="219"/>
      <c r="H83" s="220" t="e">
        <f>#REF!</f>
        <v>#REF!</v>
      </c>
    </row>
    <row r="84" spans="1:8">
      <c r="A84" s="76"/>
      <c r="B84" s="77"/>
      <c r="C84" s="77">
        <v>1</v>
      </c>
      <c r="D84" s="78" t="s">
        <v>272</v>
      </c>
      <c r="E84" s="77" t="s">
        <v>273</v>
      </c>
      <c r="F84" s="79">
        <v>34.54</v>
      </c>
      <c r="G84" s="80" t="e">
        <f>VLOOKUP(DGXDCT_1!$D$84,#REF!,4,0)</f>
        <v>#REF!</v>
      </c>
      <c r="H84" s="81"/>
    </row>
    <row r="85" spans="1:8">
      <c r="A85" s="76"/>
      <c r="B85" s="77"/>
      <c r="C85" s="77">
        <v>1</v>
      </c>
      <c r="D85" s="78" t="s">
        <v>290</v>
      </c>
      <c r="E85" s="77" t="s">
        <v>273</v>
      </c>
      <c r="F85" s="79">
        <v>13.95</v>
      </c>
      <c r="G85" s="80" t="e">
        <f>VLOOKUP(DGXDCT_1!$D$85,#REF!,4,0)</f>
        <v>#REF!</v>
      </c>
      <c r="H85" s="81"/>
    </row>
    <row r="86" spans="1:8">
      <c r="A86" s="76"/>
      <c r="B86" s="77"/>
      <c r="C86" s="77">
        <v>1</v>
      </c>
      <c r="D86" s="78" t="s">
        <v>291</v>
      </c>
      <c r="E86" s="77" t="s">
        <v>273</v>
      </c>
      <c r="F86" s="79">
        <v>1.22</v>
      </c>
      <c r="G86" s="80" t="e">
        <f>VLOOKUP(DGXDCT_1!$D$86,#REF!,4,0)</f>
        <v>#REF!</v>
      </c>
      <c r="H86" s="81"/>
    </row>
    <row r="87" spans="1:8">
      <c r="A87" s="76"/>
      <c r="B87" s="77"/>
      <c r="C87" s="77">
        <v>1</v>
      </c>
      <c r="D87" s="78" t="s">
        <v>69</v>
      </c>
      <c r="E87" s="77" t="s">
        <v>31</v>
      </c>
      <c r="F87" s="79">
        <v>5</v>
      </c>
      <c r="G87" s="80" t="e">
        <f>VLOOKUP(DGXDCT_1!$D$87,#REF!,4,0)</f>
        <v>#REF!</v>
      </c>
      <c r="H87" s="81"/>
    </row>
    <row r="88" spans="1:8">
      <c r="A88" s="26"/>
      <c r="B88" s="27"/>
      <c r="C88" s="27">
        <v>2</v>
      </c>
      <c r="D88" s="28" t="s">
        <v>173</v>
      </c>
      <c r="E88" s="27" t="s">
        <v>5</v>
      </c>
      <c r="F88" s="38">
        <v>25.84</v>
      </c>
      <c r="G88" s="32" t="e">
        <f>VLOOKUP(DGXDCT_1!$D$88,#REF!,4,0)</f>
        <v>#REF!</v>
      </c>
      <c r="H88" s="29"/>
    </row>
    <row r="89" spans="1:8">
      <c r="A89" s="68"/>
      <c r="B89" s="69"/>
      <c r="C89" s="69">
        <v>3</v>
      </c>
      <c r="D89" s="70" t="s">
        <v>292</v>
      </c>
      <c r="E89" s="69" t="s">
        <v>6</v>
      </c>
      <c r="F89" s="71">
        <v>0.44</v>
      </c>
      <c r="G89" s="72" t="e">
        <f>VLOOKUP(DGXDCT_1!$D$89,#REF!,4,0)</f>
        <v>#REF!</v>
      </c>
      <c r="H89" s="73"/>
    </row>
    <row r="90" spans="1:8">
      <c r="A90" s="68"/>
      <c r="B90" s="69"/>
      <c r="C90" s="69">
        <v>3</v>
      </c>
      <c r="D90" s="70" t="s">
        <v>63</v>
      </c>
      <c r="E90" s="69" t="s">
        <v>31</v>
      </c>
      <c r="F90" s="71">
        <v>10</v>
      </c>
      <c r="G90" s="72" t="e">
        <f>VLOOKUP(DGXDCT_1!$D$90,#REF!,4,0)</f>
        <v>#REF!</v>
      </c>
      <c r="H90" s="73"/>
    </row>
    <row r="91" spans="1:8">
      <c r="A91" s="215" t="e">
        <f>#REF!</f>
        <v>#REF!</v>
      </c>
      <c r="B91" s="216" t="s">
        <v>202</v>
      </c>
      <c r="C91" s="216"/>
      <c r="D91" s="217" t="s">
        <v>203</v>
      </c>
      <c r="E91" s="216" t="s">
        <v>88</v>
      </c>
      <c r="F91" s="218"/>
      <c r="G91" s="219"/>
      <c r="H91" s="220" t="e">
        <f>#REF!</f>
        <v>#REF!</v>
      </c>
    </row>
    <row r="92" spans="1:8">
      <c r="A92" s="76"/>
      <c r="B92" s="77"/>
      <c r="C92" s="77">
        <v>1</v>
      </c>
      <c r="D92" s="78" t="s">
        <v>293</v>
      </c>
      <c r="E92" s="77" t="s">
        <v>273</v>
      </c>
      <c r="F92" s="79">
        <v>0.27</v>
      </c>
      <c r="G92" s="80" t="e">
        <f>VLOOKUP(DGXDCT_1!$D$92,#REF!,4,0)</f>
        <v>#REF!</v>
      </c>
      <c r="H92" s="81"/>
    </row>
    <row r="93" spans="1:8">
      <c r="A93" s="76"/>
      <c r="B93" s="77"/>
      <c r="C93" s="77">
        <v>1</v>
      </c>
      <c r="D93" s="78" t="s">
        <v>69</v>
      </c>
      <c r="E93" s="77" t="s">
        <v>31</v>
      </c>
      <c r="F93" s="79">
        <v>1</v>
      </c>
      <c r="G93" s="80" t="e">
        <f>VLOOKUP(DGXDCT_1!$D$93,#REF!,4,0)</f>
        <v>#REF!</v>
      </c>
      <c r="H93" s="81"/>
    </row>
    <row r="94" spans="1:8">
      <c r="A94" s="26"/>
      <c r="B94" s="27"/>
      <c r="C94" s="27">
        <v>2</v>
      </c>
      <c r="D94" s="28" t="s">
        <v>173</v>
      </c>
      <c r="E94" s="27" t="s">
        <v>5</v>
      </c>
      <c r="F94" s="38">
        <v>5.0999999999999997E-2</v>
      </c>
      <c r="G94" s="32" t="e">
        <f>VLOOKUP(DGXDCT_1!$D$94,#REF!,4,0)</f>
        <v>#REF!</v>
      </c>
      <c r="H94" s="29"/>
    </row>
    <row r="95" spans="1:8">
      <c r="A95" s="215" t="e">
        <f>#REF!</f>
        <v>#REF!</v>
      </c>
      <c r="B95" s="216" t="s">
        <v>204</v>
      </c>
      <c r="C95" s="216"/>
      <c r="D95" s="217" t="s">
        <v>205</v>
      </c>
      <c r="E95" s="216" t="s">
        <v>30</v>
      </c>
      <c r="F95" s="218"/>
      <c r="G95" s="219"/>
      <c r="H95" s="220" t="e">
        <f>#REF!</f>
        <v>#REF!</v>
      </c>
    </row>
    <row r="96" spans="1:8">
      <c r="A96" s="26"/>
      <c r="B96" s="27"/>
      <c r="C96" s="27">
        <v>2</v>
      </c>
      <c r="D96" s="28" t="s">
        <v>174</v>
      </c>
      <c r="E96" s="27" t="s">
        <v>5</v>
      </c>
      <c r="F96" s="38">
        <v>0.76</v>
      </c>
      <c r="G96" s="32" t="e">
        <f>VLOOKUP(DGXDCT_1!$D$96,#REF!,4,0)</f>
        <v>#REF!</v>
      </c>
      <c r="H96" s="29"/>
    </row>
    <row r="97" spans="1:8">
      <c r="A97" s="215" t="e">
        <f>#REF!</f>
        <v>#REF!</v>
      </c>
      <c r="B97" s="216" t="s">
        <v>206</v>
      </c>
      <c r="C97" s="216"/>
      <c r="D97" s="217" t="s">
        <v>207</v>
      </c>
      <c r="E97" s="216" t="s">
        <v>30</v>
      </c>
      <c r="F97" s="218"/>
      <c r="G97" s="219"/>
      <c r="H97" s="220" t="e">
        <f>#REF!</f>
        <v>#REF!</v>
      </c>
    </row>
    <row r="98" spans="1:8">
      <c r="A98" s="76"/>
      <c r="B98" s="77"/>
      <c r="C98" s="77">
        <v>1</v>
      </c>
      <c r="D98" s="78" t="s">
        <v>275</v>
      </c>
      <c r="E98" s="77" t="s">
        <v>273</v>
      </c>
      <c r="F98" s="79">
        <v>238.82499999999999</v>
      </c>
      <c r="G98" s="80" t="e">
        <f>VLOOKUP(DGXDCT_1!$D$98,#REF!,4,0)</f>
        <v>#REF!</v>
      </c>
      <c r="H98" s="81"/>
    </row>
    <row r="99" spans="1:8">
      <c r="A99" s="76"/>
      <c r="B99" s="77"/>
      <c r="C99" s="77">
        <v>1</v>
      </c>
      <c r="D99" s="78" t="s">
        <v>276</v>
      </c>
      <c r="E99" s="77" t="s">
        <v>30</v>
      </c>
      <c r="F99" s="79">
        <v>0.52274999999999994</v>
      </c>
      <c r="G99" s="80" t="e">
        <f>VLOOKUP(DGXDCT_1!$D$99,#REF!,4,0)</f>
        <v>#REF!</v>
      </c>
      <c r="H99" s="81"/>
    </row>
    <row r="100" spans="1:8">
      <c r="A100" s="76"/>
      <c r="B100" s="77"/>
      <c r="C100" s="77">
        <v>1</v>
      </c>
      <c r="D100" s="78" t="s">
        <v>277</v>
      </c>
      <c r="E100" s="77" t="s">
        <v>30</v>
      </c>
      <c r="F100" s="79">
        <v>0.92557499999999993</v>
      </c>
      <c r="G100" s="80" t="e">
        <f>VLOOKUP(DGXDCT_1!$D$100,#REF!,4,0)</f>
        <v>#REF!</v>
      </c>
      <c r="H100" s="81"/>
    </row>
    <row r="101" spans="1:8">
      <c r="A101" s="76"/>
      <c r="B101" s="77"/>
      <c r="C101" s="77">
        <v>1</v>
      </c>
      <c r="D101" s="78" t="s">
        <v>278</v>
      </c>
      <c r="E101" s="77" t="s">
        <v>279</v>
      </c>
      <c r="F101" s="79">
        <v>189.62499999999997</v>
      </c>
      <c r="G101" s="80" t="e">
        <f>VLOOKUP(DGXDCT_1!$D$101,#REF!,4,0)</f>
        <v>#REF!</v>
      </c>
      <c r="H101" s="81"/>
    </row>
    <row r="102" spans="1:8">
      <c r="A102" s="76"/>
      <c r="B102" s="77"/>
      <c r="C102" s="77">
        <v>1</v>
      </c>
      <c r="D102" s="78" t="s">
        <v>69</v>
      </c>
      <c r="E102" s="77" t="s">
        <v>31</v>
      </c>
      <c r="F102" s="79">
        <v>1</v>
      </c>
      <c r="G102" s="80" t="e">
        <f>VLOOKUP(DGXDCT_1!$D$102,#REF!,4,0)</f>
        <v>#REF!</v>
      </c>
      <c r="H102" s="81"/>
    </row>
    <row r="103" spans="1:8">
      <c r="A103" s="26"/>
      <c r="B103" s="27"/>
      <c r="C103" s="27">
        <v>2</v>
      </c>
      <c r="D103" s="28" t="s">
        <v>174</v>
      </c>
      <c r="E103" s="27" t="s">
        <v>5</v>
      </c>
      <c r="F103" s="38">
        <v>1.64</v>
      </c>
      <c r="G103" s="32" t="e">
        <f>VLOOKUP(DGXDCT_1!$D$103,#REF!,4,0)</f>
        <v>#REF!</v>
      </c>
      <c r="H103" s="29"/>
    </row>
    <row r="104" spans="1:8">
      <c r="A104" s="68"/>
      <c r="B104" s="69"/>
      <c r="C104" s="69">
        <v>3</v>
      </c>
      <c r="D104" s="70" t="s">
        <v>289</v>
      </c>
      <c r="E104" s="69" t="s">
        <v>6</v>
      </c>
      <c r="F104" s="71">
        <v>9.5000000000000001E-2</v>
      </c>
      <c r="G104" s="72" t="e">
        <f>VLOOKUP(DGXDCT_1!$D$104,#REF!,4,0)</f>
        <v>#REF!</v>
      </c>
      <c r="H104" s="73"/>
    </row>
    <row r="105" spans="1:8">
      <c r="A105" s="68"/>
      <c r="B105" s="69"/>
      <c r="C105" s="69">
        <v>3</v>
      </c>
      <c r="D105" s="70" t="s">
        <v>284</v>
      </c>
      <c r="E105" s="69" t="s">
        <v>6</v>
      </c>
      <c r="F105" s="71">
        <v>8.8999999999999996E-2</v>
      </c>
      <c r="G105" s="72" t="e">
        <f>VLOOKUP(DGXDCT_1!$D$105,#REF!,4,0)</f>
        <v>#REF!</v>
      </c>
      <c r="H105" s="73"/>
    </row>
    <row r="106" spans="1:8">
      <c r="A106" s="215" t="e">
        <f>#REF!</f>
        <v>#REF!</v>
      </c>
      <c r="B106" s="216" t="s">
        <v>208</v>
      </c>
      <c r="C106" s="216"/>
      <c r="D106" s="217" t="s">
        <v>209</v>
      </c>
      <c r="E106" s="216" t="s">
        <v>210</v>
      </c>
      <c r="F106" s="218"/>
      <c r="G106" s="219"/>
      <c r="H106" s="220" t="e">
        <f>#REF!</f>
        <v>#REF!</v>
      </c>
    </row>
    <row r="107" spans="1:8">
      <c r="A107" s="26"/>
      <c r="B107" s="27"/>
      <c r="C107" s="27">
        <v>2</v>
      </c>
      <c r="D107" s="28" t="s">
        <v>267</v>
      </c>
      <c r="E107" s="27" t="s">
        <v>5</v>
      </c>
      <c r="F107" s="38">
        <v>0.25</v>
      </c>
      <c r="G107" s="32" t="e">
        <f>VLOOKUP(DGXDCT_1!$D$107,#REF!,4,0)</f>
        <v>#REF!</v>
      </c>
      <c r="H107" s="29"/>
    </row>
    <row r="108" spans="1:8">
      <c r="A108" s="215" t="e">
        <f>#REF!</f>
        <v>#REF!</v>
      </c>
      <c r="B108" s="216" t="s">
        <v>211</v>
      </c>
      <c r="C108" s="216"/>
      <c r="D108" s="217" t="s">
        <v>212</v>
      </c>
      <c r="E108" s="216" t="s">
        <v>213</v>
      </c>
      <c r="F108" s="218"/>
      <c r="G108" s="219"/>
      <c r="H108" s="220" t="e">
        <f>#REF!</f>
        <v>#REF!</v>
      </c>
    </row>
    <row r="109" spans="1:8">
      <c r="A109" s="76"/>
      <c r="B109" s="77"/>
      <c r="C109" s="77">
        <v>1</v>
      </c>
      <c r="D109" s="78" t="s">
        <v>294</v>
      </c>
      <c r="E109" s="77" t="s">
        <v>213</v>
      </c>
      <c r="F109" s="79">
        <v>1</v>
      </c>
      <c r="G109" s="80" t="e">
        <f>VLOOKUP(DGXDCT_1!$D$109,#REF!,4,0)</f>
        <v>#REF!</v>
      </c>
      <c r="H109" s="81"/>
    </row>
    <row r="110" spans="1:8">
      <c r="A110" s="215" t="e">
        <f>#REF!</f>
        <v>#REF!</v>
      </c>
      <c r="B110" s="216" t="s">
        <v>214</v>
      </c>
      <c r="C110" s="216"/>
      <c r="D110" s="217" t="s">
        <v>215</v>
      </c>
      <c r="E110" s="216" t="s">
        <v>210</v>
      </c>
      <c r="F110" s="218"/>
      <c r="G110" s="219"/>
      <c r="H110" s="220" t="e">
        <f>#REF!</f>
        <v>#REF!</v>
      </c>
    </row>
    <row r="111" spans="1:8">
      <c r="A111" s="76"/>
      <c r="B111" s="77"/>
      <c r="C111" s="77">
        <v>1</v>
      </c>
      <c r="D111" s="78" t="s">
        <v>295</v>
      </c>
      <c r="E111" s="77" t="s">
        <v>210</v>
      </c>
      <c r="F111" s="79">
        <v>1</v>
      </c>
      <c r="G111" s="80" t="e">
        <f>VLOOKUP(DGXDCT_1!$D$111,#REF!,4,0)</f>
        <v>#REF!</v>
      </c>
      <c r="H111" s="81"/>
    </row>
    <row r="112" spans="1:8">
      <c r="A112" s="215" t="e">
        <f>#REF!</f>
        <v>#REF!</v>
      </c>
      <c r="B112" s="216" t="s">
        <v>216</v>
      </c>
      <c r="C112" s="216"/>
      <c r="D112" s="217" t="s">
        <v>217</v>
      </c>
      <c r="E112" s="216" t="s">
        <v>210</v>
      </c>
      <c r="F112" s="218"/>
      <c r="G112" s="219"/>
      <c r="H112" s="220" t="e">
        <f>#REF!</f>
        <v>#REF!</v>
      </c>
    </row>
    <row r="113" spans="1:8">
      <c r="A113" s="76"/>
      <c r="B113" s="77"/>
      <c r="C113" s="77">
        <v>1</v>
      </c>
      <c r="D113" s="78" t="s">
        <v>296</v>
      </c>
      <c r="E113" s="77" t="s">
        <v>210</v>
      </c>
      <c r="F113" s="79">
        <v>1</v>
      </c>
      <c r="G113" s="80" t="e">
        <f>VLOOKUP(DGXDCT_1!$D$113,#REF!,4,0)</f>
        <v>#REF!</v>
      </c>
      <c r="H113" s="81"/>
    </row>
    <row r="114" spans="1:8">
      <c r="A114" s="215" t="e">
        <f>#REF!</f>
        <v>#REF!</v>
      </c>
      <c r="B114" s="216" t="s">
        <v>11</v>
      </c>
      <c r="C114" s="216"/>
      <c r="D114" s="217" t="s">
        <v>218</v>
      </c>
      <c r="E114" s="216"/>
      <c r="F114" s="218"/>
      <c r="G114" s="219"/>
      <c r="H114" s="220" t="e">
        <f>#REF!</f>
        <v>#REF!</v>
      </c>
    </row>
    <row r="115" spans="1:8">
      <c r="A115" s="215" t="e">
        <f>#REF!</f>
        <v>#REF!</v>
      </c>
      <c r="B115" s="216" t="s">
        <v>256</v>
      </c>
      <c r="C115" s="216"/>
      <c r="D115" s="217" t="s">
        <v>219</v>
      </c>
      <c r="E115" s="216" t="s">
        <v>71</v>
      </c>
      <c r="F115" s="218"/>
      <c r="G115" s="219"/>
      <c r="H115" s="220" t="e">
        <f>#REF!</f>
        <v>#REF!</v>
      </c>
    </row>
    <row r="116" spans="1:8">
      <c r="A116" s="76"/>
      <c r="B116" s="77"/>
      <c r="C116" s="77">
        <v>1</v>
      </c>
      <c r="D116" s="78" t="s">
        <v>297</v>
      </c>
      <c r="E116" s="77" t="s">
        <v>71</v>
      </c>
      <c r="F116" s="79">
        <v>1</v>
      </c>
      <c r="G116" s="80" t="e">
        <f>VLOOKUP(DGXDCT_1!$D$116,#REF!,4,0)</f>
        <v>#REF!</v>
      </c>
      <c r="H116" s="81"/>
    </row>
    <row r="117" spans="1:8">
      <c r="A117" s="76"/>
      <c r="B117" s="77"/>
      <c r="C117" s="77">
        <v>1</v>
      </c>
      <c r="D117" s="78" t="s">
        <v>298</v>
      </c>
      <c r="E117" s="77" t="s">
        <v>273</v>
      </c>
      <c r="F117" s="79">
        <v>7.0000000000000007E-2</v>
      </c>
      <c r="G117" s="80" t="e">
        <f>VLOOKUP(DGXDCT_1!$D$117,#REF!,4,0)</f>
        <v>#REF!</v>
      </c>
      <c r="H117" s="81"/>
    </row>
    <row r="118" spans="1:8">
      <c r="A118" s="76"/>
      <c r="B118" s="77"/>
      <c r="C118" s="77">
        <v>1</v>
      </c>
      <c r="D118" s="78" t="s">
        <v>75</v>
      </c>
      <c r="E118" s="77" t="s">
        <v>71</v>
      </c>
      <c r="F118" s="79">
        <v>3</v>
      </c>
      <c r="G118" s="80" t="e">
        <f>VLOOKUP(DGXDCT_1!$D$118,#REF!,4,0)</f>
        <v>#REF!</v>
      </c>
      <c r="H118" s="81"/>
    </row>
    <row r="119" spans="1:8">
      <c r="A119" s="76"/>
      <c r="B119" s="77"/>
      <c r="C119" s="77">
        <v>1</v>
      </c>
      <c r="D119" s="78" t="s">
        <v>299</v>
      </c>
      <c r="E119" s="77" t="s">
        <v>30</v>
      </c>
      <c r="F119" s="79">
        <v>0.01</v>
      </c>
      <c r="G119" s="80" t="e">
        <f>VLOOKUP(DGXDCT_1!$D$119,#REF!,4,0)</f>
        <v>#REF!</v>
      </c>
      <c r="H119" s="81"/>
    </row>
    <row r="120" spans="1:8">
      <c r="A120" s="76"/>
      <c r="B120" s="77"/>
      <c r="C120" s="77">
        <v>1</v>
      </c>
      <c r="D120" s="78" t="s">
        <v>300</v>
      </c>
      <c r="E120" s="77" t="s">
        <v>273</v>
      </c>
      <c r="F120" s="79">
        <v>6</v>
      </c>
      <c r="G120" s="80" t="e">
        <f>VLOOKUP(DGXDCT_1!$D$120,#REF!,4,0)</f>
        <v>#REF!</v>
      </c>
      <c r="H120" s="81"/>
    </row>
    <row r="121" spans="1:8">
      <c r="A121" s="26"/>
      <c r="B121" s="27"/>
      <c r="C121" s="27">
        <v>2</v>
      </c>
      <c r="D121" s="28" t="s">
        <v>173</v>
      </c>
      <c r="E121" s="27" t="s">
        <v>5</v>
      </c>
      <c r="F121" s="38">
        <v>0.11</v>
      </c>
      <c r="G121" s="32" t="e">
        <f>VLOOKUP(DGXDCT_1!$D$121,#REF!,4,0)</f>
        <v>#REF!</v>
      </c>
      <c r="H121" s="29"/>
    </row>
    <row r="122" spans="1:8">
      <c r="A122" s="215" t="e">
        <f>#REF!</f>
        <v>#REF!</v>
      </c>
      <c r="B122" s="216" t="s">
        <v>220</v>
      </c>
      <c r="C122" s="216"/>
      <c r="D122" s="217" t="s">
        <v>221</v>
      </c>
      <c r="E122" s="216" t="s">
        <v>71</v>
      </c>
      <c r="F122" s="218"/>
      <c r="G122" s="219"/>
      <c r="H122" s="220" t="e">
        <f>#REF!</f>
        <v>#REF!</v>
      </c>
    </row>
    <row r="123" spans="1:8">
      <c r="A123" s="76"/>
      <c r="B123" s="77"/>
      <c r="C123" s="77">
        <v>1</v>
      </c>
      <c r="D123" s="78" t="s">
        <v>299</v>
      </c>
      <c r="E123" s="77" t="s">
        <v>30</v>
      </c>
      <c r="F123" s="79">
        <v>0.9</v>
      </c>
      <c r="G123" s="80" t="e">
        <f>VLOOKUP(DGXDCT_1!$D$123,#REF!,4,0)</f>
        <v>#REF!</v>
      </c>
      <c r="H123" s="81"/>
    </row>
    <row r="124" spans="1:8">
      <c r="A124" s="26"/>
      <c r="B124" s="27"/>
      <c r="C124" s="27">
        <v>2</v>
      </c>
      <c r="D124" s="28" t="s">
        <v>173</v>
      </c>
      <c r="E124" s="27" t="s">
        <v>5</v>
      </c>
      <c r="F124" s="38">
        <v>0.69499999999999995</v>
      </c>
      <c r="G124" s="32" t="e">
        <f>VLOOKUP(DGXDCT_1!$D$124,#REF!,4,0)</f>
        <v>#REF!</v>
      </c>
      <c r="H124" s="29"/>
    </row>
    <row r="125" spans="1:8">
      <c r="A125" s="68"/>
      <c r="B125" s="69"/>
      <c r="C125" s="69">
        <v>3</v>
      </c>
      <c r="D125" s="70" t="s">
        <v>263</v>
      </c>
      <c r="E125" s="69" t="s">
        <v>6</v>
      </c>
      <c r="F125" s="71">
        <v>4.2000000000000003E-2</v>
      </c>
      <c r="G125" s="72" t="e">
        <f>VLOOKUP(DGXDCT_1!$D$125,#REF!,4,0)</f>
        <v>#REF!</v>
      </c>
      <c r="H125" s="73"/>
    </row>
    <row r="126" spans="1:8">
      <c r="A126" s="215" t="e">
        <f>#REF!</f>
        <v>#REF!</v>
      </c>
      <c r="B126" s="216" t="s">
        <v>222</v>
      </c>
      <c r="C126" s="216"/>
      <c r="D126" s="217" t="s">
        <v>223</v>
      </c>
      <c r="E126" s="216" t="s">
        <v>67</v>
      </c>
      <c r="F126" s="218"/>
      <c r="G126" s="219"/>
      <c r="H126" s="220" t="e">
        <f>#REF!</f>
        <v>#REF!</v>
      </c>
    </row>
    <row r="127" spans="1:8">
      <c r="A127" s="76"/>
      <c r="B127" s="77"/>
      <c r="C127" s="77">
        <v>1</v>
      </c>
      <c r="D127" s="78" t="s">
        <v>301</v>
      </c>
      <c r="E127" s="77" t="s">
        <v>302</v>
      </c>
      <c r="F127" s="79">
        <v>6000</v>
      </c>
      <c r="G127" s="80" t="e">
        <f>VLOOKUP(DGXDCT_1!$D$127,#REF!,4,0)</f>
        <v>#REF!</v>
      </c>
      <c r="H127" s="81"/>
    </row>
    <row r="128" spans="1:8">
      <c r="A128" s="76"/>
      <c r="B128" s="77"/>
      <c r="C128" s="77">
        <v>1</v>
      </c>
      <c r="D128" s="78" t="s">
        <v>299</v>
      </c>
      <c r="E128" s="77" t="s">
        <v>30</v>
      </c>
      <c r="F128" s="79">
        <v>1.5</v>
      </c>
      <c r="G128" s="80" t="e">
        <f>VLOOKUP(DGXDCT_1!$D$128,#REF!,4,0)</f>
        <v>#REF!</v>
      </c>
      <c r="H128" s="81"/>
    </row>
    <row r="129" spans="1:8">
      <c r="A129" s="76"/>
      <c r="B129" s="77"/>
      <c r="C129" s="77">
        <v>1</v>
      </c>
      <c r="D129" s="78" t="s">
        <v>300</v>
      </c>
      <c r="E129" s="77" t="s">
        <v>273</v>
      </c>
      <c r="F129" s="79">
        <v>300</v>
      </c>
      <c r="G129" s="80" t="e">
        <f>VLOOKUP(DGXDCT_1!$D$129,#REF!,4,0)</f>
        <v>#REF!</v>
      </c>
      <c r="H129" s="81"/>
    </row>
    <row r="130" spans="1:8">
      <c r="A130" s="26"/>
      <c r="B130" s="27"/>
      <c r="C130" s="27">
        <v>2</v>
      </c>
      <c r="D130" s="28" t="s">
        <v>173</v>
      </c>
      <c r="E130" s="27" t="s">
        <v>5</v>
      </c>
      <c r="F130" s="38">
        <v>3.7</v>
      </c>
      <c r="G130" s="32" t="e">
        <f>VLOOKUP(DGXDCT_1!$D$130,#REF!,4,0)</f>
        <v>#REF!</v>
      </c>
      <c r="H130" s="29"/>
    </row>
    <row r="131" spans="1:8">
      <c r="A131" s="215" t="e">
        <f>#REF!</f>
        <v>#REF!</v>
      </c>
      <c r="B131" s="216" t="s">
        <v>224</v>
      </c>
      <c r="C131" s="216"/>
      <c r="D131" s="217" t="s">
        <v>225</v>
      </c>
      <c r="E131" s="216" t="s">
        <v>67</v>
      </c>
      <c r="F131" s="218"/>
      <c r="G131" s="219"/>
      <c r="H131" s="220" t="e">
        <f>#REF!</f>
        <v>#REF!</v>
      </c>
    </row>
    <row r="132" spans="1:8">
      <c r="A132" s="76"/>
      <c r="B132" s="77"/>
      <c r="C132" s="77">
        <v>1</v>
      </c>
      <c r="D132" s="78" t="s">
        <v>303</v>
      </c>
      <c r="E132" s="77" t="s">
        <v>302</v>
      </c>
      <c r="F132" s="79">
        <v>1600</v>
      </c>
      <c r="G132" s="80" t="e">
        <f>VLOOKUP(DGXDCT_1!$D$132,#REF!,4,0)</f>
        <v>#REF!</v>
      </c>
      <c r="H132" s="81"/>
    </row>
    <row r="133" spans="1:8">
      <c r="A133" s="76"/>
      <c r="B133" s="77"/>
      <c r="C133" s="77">
        <v>1</v>
      </c>
      <c r="D133" s="78" t="s">
        <v>299</v>
      </c>
      <c r="E133" s="77" t="s">
        <v>30</v>
      </c>
      <c r="F133" s="79">
        <v>1.5</v>
      </c>
      <c r="G133" s="80" t="e">
        <f>VLOOKUP(DGXDCT_1!$D$133,#REF!,4,0)</f>
        <v>#REF!</v>
      </c>
      <c r="H133" s="81"/>
    </row>
    <row r="134" spans="1:8">
      <c r="A134" s="76"/>
      <c r="B134" s="77"/>
      <c r="C134" s="77">
        <v>1</v>
      </c>
      <c r="D134" s="78" t="s">
        <v>300</v>
      </c>
      <c r="E134" s="77" t="s">
        <v>273</v>
      </c>
      <c r="F134" s="79">
        <v>300</v>
      </c>
      <c r="G134" s="80" t="e">
        <f>VLOOKUP(DGXDCT_1!$D$134,#REF!,4,0)</f>
        <v>#REF!</v>
      </c>
      <c r="H134" s="81"/>
    </row>
    <row r="135" spans="1:8">
      <c r="A135" s="26"/>
      <c r="B135" s="27"/>
      <c r="C135" s="27">
        <v>2</v>
      </c>
      <c r="D135" s="28" t="s">
        <v>173</v>
      </c>
      <c r="E135" s="27" t="s">
        <v>5</v>
      </c>
      <c r="F135" s="38">
        <v>3.7</v>
      </c>
      <c r="G135" s="32" t="e">
        <f>VLOOKUP(DGXDCT_1!$D$135,#REF!,4,0)</f>
        <v>#REF!</v>
      </c>
      <c r="H135" s="29"/>
    </row>
    <row r="136" spans="1:8">
      <c r="A136" s="215" t="e">
        <f>#REF!</f>
        <v>#REF!</v>
      </c>
      <c r="B136" s="216" t="s">
        <v>226</v>
      </c>
      <c r="C136" s="216"/>
      <c r="D136" s="217" t="s">
        <v>227</v>
      </c>
      <c r="E136" s="216" t="s">
        <v>67</v>
      </c>
      <c r="F136" s="218"/>
      <c r="G136" s="219"/>
      <c r="H136" s="220" t="e">
        <f>#REF!</f>
        <v>#REF!</v>
      </c>
    </row>
    <row r="137" spans="1:8">
      <c r="A137" s="76"/>
      <c r="B137" s="77"/>
      <c r="C137" s="77">
        <v>1</v>
      </c>
      <c r="D137" s="78" t="s">
        <v>304</v>
      </c>
      <c r="E137" s="77" t="s">
        <v>302</v>
      </c>
      <c r="F137" s="79">
        <v>1200</v>
      </c>
      <c r="G137" s="80" t="e">
        <f>VLOOKUP(DGXDCT_1!$D$137,#REF!,4,0)</f>
        <v>#REF!</v>
      </c>
      <c r="H137" s="81"/>
    </row>
    <row r="138" spans="1:8">
      <c r="A138" s="76"/>
      <c r="B138" s="77"/>
      <c r="C138" s="77">
        <v>1</v>
      </c>
      <c r="D138" s="78" t="s">
        <v>299</v>
      </c>
      <c r="E138" s="77" t="s">
        <v>30</v>
      </c>
      <c r="F138" s="79">
        <v>1.5</v>
      </c>
      <c r="G138" s="80" t="e">
        <f>VLOOKUP(DGXDCT_1!$D$138,#REF!,4,0)</f>
        <v>#REF!</v>
      </c>
      <c r="H138" s="81"/>
    </row>
    <row r="139" spans="1:8">
      <c r="A139" s="76"/>
      <c r="B139" s="77"/>
      <c r="C139" s="77">
        <v>1</v>
      </c>
      <c r="D139" s="78" t="s">
        <v>300</v>
      </c>
      <c r="E139" s="77" t="s">
        <v>273</v>
      </c>
      <c r="F139" s="79">
        <v>300</v>
      </c>
      <c r="G139" s="80" t="e">
        <f>VLOOKUP(DGXDCT_1!$D$139,#REF!,4,0)</f>
        <v>#REF!</v>
      </c>
      <c r="H139" s="81"/>
    </row>
    <row r="140" spans="1:8">
      <c r="A140" s="26"/>
      <c r="B140" s="27"/>
      <c r="C140" s="27">
        <v>2</v>
      </c>
      <c r="D140" s="28" t="s">
        <v>173</v>
      </c>
      <c r="E140" s="27" t="s">
        <v>5</v>
      </c>
      <c r="F140" s="38">
        <v>3.7</v>
      </c>
      <c r="G140" s="32" t="e">
        <f>VLOOKUP(DGXDCT_1!$D$140,#REF!,4,0)</f>
        <v>#REF!</v>
      </c>
      <c r="H140" s="29"/>
    </row>
    <row r="141" spans="1:8">
      <c r="A141" s="215" t="e">
        <f>#REF!</f>
        <v>#REF!</v>
      </c>
      <c r="B141" s="216" t="s">
        <v>228</v>
      </c>
      <c r="C141" s="216"/>
      <c r="D141" s="217" t="s">
        <v>229</v>
      </c>
      <c r="E141" s="216" t="s">
        <v>67</v>
      </c>
      <c r="F141" s="218"/>
      <c r="G141" s="219"/>
      <c r="H141" s="220" t="e">
        <f>#REF!</f>
        <v>#REF!</v>
      </c>
    </row>
    <row r="142" spans="1:8">
      <c r="A142" s="76"/>
      <c r="B142" s="77"/>
      <c r="C142" s="77">
        <v>1</v>
      </c>
      <c r="D142" s="78" t="s">
        <v>305</v>
      </c>
      <c r="E142" s="77" t="s">
        <v>302</v>
      </c>
      <c r="F142" s="79">
        <v>1600</v>
      </c>
      <c r="G142" s="80" t="e">
        <f>VLOOKUP(DGXDCT_1!$D$142,#REF!,4,0)</f>
        <v>#REF!</v>
      </c>
      <c r="H142" s="81"/>
    </row>
    <row r="143" spans="1:8">
      <c r="A143" s="76"/>
      <c r="B143" s="77"/>
      <c r="C143" s="77">
        <v>1</v>
      </c>
      <c r="D143" s="78" t="s">
        <v>299</v>
      </c>
      <c r="E143" s="77" t="s">
        <v>30</v>
      </c>
      <c r="F143" s="79">
        <v>1.5</v>
      </c>
      <c r="G143" s="80" t="e">
        <f>VLOOKUP(DGXDCT_1!$D$143,#REF!,4,0)</f>
        <v>#REF!</v>
      </c>
      <c r="H143" s="81"/>
    </row>
    <row r="144" spans="1:8">
      <c r="A144" s="76"/>
      <c r="B144" s="77"/>
      <c r="C144" s="77">
        <v>1</v>
      </c>
      <c r="D144" s="78" t="s">
        <v>300</v>
      </c>
      <c r="E144" s="77" t="s">
        <v>273</v>
      </c>
      <c r="F144" s="79">
        <v>300</v>
      </c>
      <c r="G144" s="80" t="e">
        <f>VLOOKUP(DGXDCT_1!$D$144,#REF!,4,0)</f>
        <v>#REF!</v>
      </c>
      <c r="H144" s="81"/>
    </row>
    <row r="145" spans="1:8">
      <c r="A145" s="26"/>
      <c r="B145" s="27"/>
      <c r="C145" s="27">
        <v>2</v>
      </c>
      <c r="D145" s="28" t="s">
        <v>173</v>
      </c>
      <c r="E145" s="27" t="s">
        <v>5</v>
      </c>
      <c r="F145" s="38">
        <v>3.7</v>
      </c>
      <c r="G145" s="32" t="e">
        <f>VLOOKUP(DGXDCT_1!$D$145,#REF!,4,0)</f>
        <v>#REF!</v>
      </c>
      <c r="H145" s="29"/>
    </row>
    <row r="146" spans="1:8">
      <c r="A146" s="215" t="e">
        <f>#REF!</f>
        <v>#REF!</v>
      </c>
      <c r="B146" s="216" t="s">
        <v>230</v>
      </c>
      <c r="C146" s="216"/>
      <c r="D146" s="217" t="s">
        <v>231</v>
      </c>
      <c r="E146" s="216" t="s">
        <v>67</v>
      </c>
      <c r="F146" s="218"/>
      <c r="G146" s="219"/>
      <c r="H146" s="220" t="e">
        <f>#REF!</f>
        <v>#REF!</v>
      </c>
    </row>
    <row r="147" spans="1:8">
      <c r="A147" s="26"/>
      <c r="B147" s="27"/>
      <c r="C147" s="27">
        <v>2</v>
      </c>
      <c r="D147" s="28" t="s">
        <v>173</v>
      </c>
      <c r="E147" s="27" t="s">
        <v>5</v>
      </c>
      <c r="F147" s="38">
        <v>2.4900000000000002</v>
      </c>
      <c r="G147" s="32" t="e">
        <f>VLOOKUP(DGXDCT_1!$D$147,#REF!,4,0)</f>
        <v>#REF!</v>
      </c>
      <c r="H147" s="29"/>
    </row>
    <row r="148" spans="1:8">
      <c r="A148" s="68"/>
      <c r="B148" s="69"/>
      <c r="C148" s="69">
        <v>3</v>
      </c>
      <c r="D148" s="70" t="s">
        <v>306</v>
      </c>
      <c r="E148" s="69" t="s">
        <v>6</v>
      </c>
      <c r="F148" s="71">
        <v>0.99</v>
      </c>
      <c r="G148" s="72" t="e">
        <f>VLOOKUP(DGXDCT_1!$D$148,#REF!,4,0)</f>
        <v>#REF!</v>
      </c>
      <c r="H148" s="73"/>
    </row>
    <row r="149" spans="1:8">
      <c r="A149" s="215" t="e">
        <f>#REF!</f>
        <v>#REF!</v>
      </c>
      <c r="B149" s="216" t="s">
        <v>11</v>
      </c>
      <c r="C149" s="216"/>
      <c r="D149" s="217" t="s">
        <v>232</v>
      </c>
      <c r="E149" s="216"/>
      <c r="F149" s="218"/>
      <c r="G149" s="219"/>
      <c r="H149" s="220" t="e">
        <f>#REF!</f>
        <v>#REF!</v>
      </c>
    </row>
    <row r="150" spans="1:8">
      <c r="A150" s="215" t="e">
        <f>#REF!</f>
        <v>#REF!</v>
      </c>
      <c r="B150" s="216" t="s">
        <v>102</v>
      </c>
      <c r="C150" s="216"/>
      <c r="D150" s="217" t="s">
        <v>233</v>
      </c>
      <c r="E150" s="216"/>
      <c r="F150" s="218"/>
      <c r="G150" s="219"/>
      <c r="H150" s="220" t="e">
        <f>#REF!</f>
        <v>#REF!</v>
      </c>
    </row>
    <row r="151" spans="1:8">
      <c r="A151" s="215" t="e">
        <f>#REF!</f>
        <v>#REF!</v>
      </c>
      <c r="B151" s="216" t="s">
        <v>234</v>
      </c>
      <c r="C151" s="216"/>
      <c r="D151" s="217" t="s">
        <v>235</v>
      </c>
      <c r="E151" s="216" t="s">
        <v>30</v>
      </c>
      <c r="F151" s="218"/>
      <c r="G151" s="219"/>
      <c r="H151" s="220" t="e">
        <f>#REF!</f>
        <v>#REF!</v>
      </c>
    </row>
    <row r="152" spans="1:8">
      <c r="A152" s="26"/>
      <c r="B152" s="27"/>
      <c r="C152" s="27">
        <v>2</v>
      </c>
      <c r="D152" s="28" t="s">
        <v>174</v>
      </c>
      <c r="E152" s="27" t="s">
        <v>5</v>
      </c>
      <c r="F152" s="38">
        <v>0.56000000000000005</v>
      </c>
      <c r="G152" s="32" t="e">
        <f>VLOOKUP(DGXDCT_1!$D$152,#REF!,4,0)</f>
        <v>#REF!</v>
      </c>
      <c r="H152" s="29"/>
    </row>
    <row r="153" spans="1:8">
      <c r="A153" s="215" t="e">
        <f>#REF!</f>
        <v>#REF!</v>
      </c>
      <c r="B153" s="216" t="s">
        <v>236</v>
      </c>
      <c r="C153" s="216"/>
      <c r="D153" s="217" t="s">
        <v>237</v>
      </c>
      <c r="E153" s="216" t="s">
        <v>106</v>
      </c>
      <c r="F153" s="218"/>
      <c r="G153" s="219"/>
      <c r="H153" s="220" t="e">
        <f>#REF!</f>
        <v>#REF!</v>
      </c>
    </row>
    <row r="154" spans="1:8">
      <c r="A154" s="76"/>
      <c r="B154" s="77"/>
      <c r="C154" s="77">
        <v>1</v>
      </c>
      <c r="D154" s="78" t="s">
        <v>89</v>
      </c>
      <c r="E154" s="77" t="s">
        <v>90</v>
      </c>
      <c r="F154" s="79">
        <v>105</v>
      </c>
      <c r="G154" s="80" t="e">
        <f>VLOOKUP(DGXDCT_1!$D$154,#REF!,4,0)</f>
        <v>#REF!</v>
      </c>
      <c r="H154" s="81"/>
    </row>
    <row r="155" spans="1:8">
      <c r="A155" s="26"/>
      <c r="B155" s="27"/>
      <c r="C155" s="27">
        <v>2</v>
      </c>
      <c r="D155" s="28" t="s">
        <v>173</v>
      </c>
      <c r="E155" s="27" t="s">
        <v>5</v>
      </c>
      <c r="F155" s="38">
        <v>1.6</v>
      </c>
      <c r="G155" s="32" t="e">
        <f>VLOOKUP(DGXDCT_1!$D$155,#REF!,4,0)</f>
        <v>#REF!</v>
      </c>
      <c r="H155" s="29"/>
    </row>
    <row r="156" spans="1:8">
      <c r="A156" s="68"/>
      <c r="B156" s="69"/>
      <c r="C156" s="69">
        <v>3</v>
      </c>
      <c r="D156" s="70" t="s">
        <v>259</v>
      </c>
      <c r="E156" s="69" t="s">
        <v>6</v>
      </c>
      <c r="F156" s="71">
        <v>0.35699999999999998</v>
      </c>
      <c r="G156" s="72" t="e">
        <f>VLOOKUP(DGXDCT_1!$D$156,#REF!,4,0)</f>
        <v>#REF!</v>
      </c>
      <c r="H156" s="73"/>
    </row>
    <row r="157" spans="1:8">
      <c r="A157" s="215" t="e">
        <f>#REF!</f>
        <v>#REF!</v>
      </c>
      <c r="B157" s="216" t="s">
        <v>186</v>
      </c>
      <c r="C157" s="216"/>
      <c r="D157" s="217" t="s">
        <v>238</v>
      </c>
      <c r="E157" s="216" t="s">
        <v>67</v>
      </c>
      <c r="F157" s="218"/>
      <c r="G157" s="219"/>
      <c r="H157" s="220" t="e">
        <f>#REF!</f>
        <v>#REF!</v>
      </c>
    </row>
    <row r="158" spans="1:8">
      <c r="A158" s="76"/>
      <c r="B158" s="77"/>
      <c r="C158" s="77">
        <v>1</v>
      </c>
      <c r="D158" s="78" t="s">
        <v>271</v>
      </c>
      <c r="E158" s="77" t="s">
        <v>88</v>
      </c>
      <c r="F158" s="79">
        <v>110</v>
      </c>
      <c r="G158" s="80" t="e">
        <f>VLOOKUP(DGXDCT_1!$D$158,#REF!,4,0)</f>
        <v>#REF!</v>
      </c>
      <c r="H158" s="81"/>
    </row>
    <row r="159" spans="1:8">
      <c r="A159" s="76"/>
      <c r="B159" s="77"/>
      <c r="C159" s="77">
        <v>1</v>
      </c>
      <c r="D159" s="78" t="s">
        <v>69</v>
      </c>
      <c r="E159" s="77" t="s">
        <v>31</v>
      </c>
      <c r="F159" s="79">
        <v>0.2</v>
      </c>
      <c r="G159" s="80" t="e">
        <f>VLOOKUP(DGXDCT_1!$D$159,#REF!,4,0)</f>
        <v>#REF!</v>
      </c>
      <c r="H159" s="81"/>
    </row>
    <row r="160" spans="1:8">
      <c r="A160" s="26"/>
      <c r="B160" s="27"/>
      <c r="C160" s="27">
        <v>2</v>
      </c>
      <c r="D160" s="28" t="s">
        <v>173</v>
      </c>
      <c r="E160" s="27" t="s">
        <v>5</v>
      </c>
      <c r="F160" s="38">
        <v>1.18</v>
      </c>
      <c r="G160" s="32" t="e">
        <f>VLOOKUP(DGXDCT_1!$D$160,#REF!,4,0)</f>
        <v>#REF!</v>
      </c>
      <c r="H160" s="29"/>
    </row>
    <row r="161" spans="1:8">
      <c r="A161" s="215" t="e">
        <f>#REF!</f>
        <v>#REF!</v>
      </c>
      <c r="B161" s="216" t="s">
        <v>239</v>
      </c>
      <c r="C161" s="216"/>
      <c r="D161" s="217" t="s">
        <v>240</v>
      </c>
      <c r="E161" s="216" t="s">
        <v>30</v>
      </c>
      <c r="F161" s="218"/>
      <c r="G161" s="219"/>
      <c r="H161" s="220" t="e">
        <f>#REF!</f>
        <v>#REF!</v>
      </c>
    </row>
    <row r="162" spans="1:8">
      <c r="A162" s="76"/>
      <c r="B162" s="77"/>
      <c r="C162" s="77">
        <v>1</v>
      </c>
      <c r="D162" s="78" t="s">
        <v>275</v>
      </c>
      <c r="E162" s="77" t="s">
        <v>273</v>
      </c>
      <c r="F162" s="79">
        <v>239.99</v>
      </c>
      <c r="G162" s="80" t="e">
        <f>VLOOKUP(DGXDCT_1!$D$162,#REF!,4,0)</f>
        <v>#REF!</v>
      </c>
      <c r="H162" s="81"/>
    </row>
    <row r="163" spans="1:8">
      <c r="A163" s="76"/>
      <c r="B163" s="77"/>
      <c r="C163" s="77">
        <v>1</v>
      </c>
      <c r="D163" s="78" t="s">
        <v>276</v>
      </c>
      <c r="E163" s="77" t="s">
        <v>30</v>
      </c>
      <c r="F163" s="79">
        <v>0.52529999999999999</v>
      </c>
      <c r="G163" s="80" t="e">
        <f>VLOOKUP(DGXDCT_1!$D$163,#REF!,4,0)</f>
        <v>#REF!</v>
      </c>
      <c r="H163" s="81"/>
    </row>
    <row r="164" spans="1:8">
      <c r="A164" s="76"/>
      <c r="B164" s="77"/>
      <c r="C164" s="77">
        <v>1</v>
      </c>
      <c r="D164" s="78" t="s">
        <v>277</v>
      </c>
      <c r="E164" s="77" t="s">
        <v>30</v>
      </c>
      <c r="F164" s="79">
        <v>0.93009000000000008</v>
      </c>
      <c r="G164" s="80" t="e">
        <f>VLOOKUP(DGXDCT_1!$D$164,#REF!,4,0)</f>
        <v>#REF!</v>
      </c>
      <c r="H164" s="81"/>
    </row>
    <row r="165" spans="1:8">
      <c r="A165" s="76"/>
      <c r="B165" s="77"/>
      <c r="C165" s="77">
        <v>1</v>
      </c>
      <c r="D165" s="78" t="s">
        <v>278</v>
      </c>
      <c r="E165" s="77" t="s">
        <v>279</v>
      </c>
      <c r="F165" s="79">
        <v>190.55</v>
      </c>
      <c r="G165" s="80" t="e">
        <f>VLOOKUP(DGXDCT_1!$D$165,#REF!,4,0)</f>
        <v>#REF!</v>
      </c>
      <c r="H165" s="81"/>
    </row>
    <row r="166" spans="1:8">
      <c r="A166" s="26"/>
      <c r="B166" s="27"/>
      <c r="C166" s="27">
        <v>2</v>
      </c>
      <c r="D166" s="28" t="s">
        <v>174</v>
      </c>
      <c r="E166" s="27" t="s">
        <v>5</v>
      </c>
      <c r="F166" s="38">
        <v>1.42</v>
      </c>
      <c r="G166" s="32" t="e">
        <f>VLOOKUP(DGXDCT_1!$D$166,#REF!,4,0)</f>
        <v>#REF!</v>
      </c>
      <c r="H166" s="29"/>
    </row>
    <row r="167" spans="1:8">
      <c r="A167" s="68"/>
      <c r="B167" s="69"/>
      <c r="C167" s="69">
        <v>3</v>
      </c>
      <c r="D167" s="70" t="s">
        <v>289</v>
      </c>
      <c r="E167" s="69" t="s">
        <v>6</v>
      </c>
      <c r="F167" s="71">
        <v>9.5000000000000001E-2</v>
      </c>
      <c r="G167" s="72" t="e">
        <f>VLOOKUP(DGXDCT_1!$D$167,#REF!,4,0)</f>
        <v>#REF!</v>
      </c>
      <c r="H167" s="73"/>
    </row>
    <row r="168" spans="1:8">
      <c r="A168" s="68"/>
      <c r="B168" s="69"/>
      <c r="C168" s="69">
        <v>3</v>
      </c>
      <c r="D168" s="70" t="s">
        <v>283</v>
      </c>
      <c r="E168" s="69" t="s">
        <v>6</v>
      </c>
      <c r="F168" s="71">
        <v>8.8999999999999996E-2</v>
      </c>
      <c r="G168" s="72" t="e">
        <f>VLOOKUP(DGXDCT_1!$D$168,#REF!,4,0)</f>
        <v>#REF!</v>
      </c>
      <c r="H168" s="73"/>
    </row>
    <row r="169" spans="1:8">
      <c r="A169" s="215" t="e">
        <f>#REF!</f>
        <v>#REF!</v>
      </c>
      <c r="B169" s="216" t="s">
        <v>241</v>
      </c>
      <c r="C169" s="216"/>
      <c r="D169" s="217" t="s">
        <v>242</v>
      </c>
      <c r="E169" s="216" t="s">
        <v>195</v>
      </c>
      <c r="F169" s="218"/>
      <c r="G169" s="219"/>
      <c r="H169" s="220" t="e">
        <f>#REF!</f>
        <v>#REF!</v>
      </c>
    </row>
    <row r="170" spans="1:8">
      <c r="A170" s="76"/>
      <c r="B170" s="77"/>
      <c r="C170" s="77">
        <v>1</v>
      </c>
      <c r="D170" s="78" t="s">
        <v>285</v>
      </c>
      <c r="E170" s="77" t="s">
        <v>273</v>
      </c>
      <c r="F170" s="79">
        <v>1005</v>
      </c>
      <c r="G170" s="80" t="e">
        <f>VLOOKUP(DGXDCT_1!$D$170,#REF!,4,0)</f>
        <v>#REF!</v>
      </c>
      <c r="H170" s="81"/>
    </row>
    <row r="171" spans="1:8">
      <c r="A171" s="76"/>
      <c r="B171" s="77"/>
      <c r="C171" s="77">
        <v>1</v>
      </c>
      <c r="D171" s="78" t="s">
        <v>286</v>
      </c>
      <c r="E171" s="77" t="s">
        <v>273</v>
      </c>
      <c r="F171" s="79">
        <v>21.42</v>
      </c>
      <c r="G171" s="80" t="e">
        <f>VLOOKUP(DGXDCT_1!$D$171,#REF!,4,0)</f>
        <v>#REF!</v>
      </c>
      <c r="H171" s="81"/>
    </row>
    <row r="172" spans="1:8">
      <c r="A172" s="26"/>
      <c r="B172" s="27"/>
      <c r="C172" s="27">
        <v>2</v>
      </c>
      <c r="D172" s="28" t="s">
        <v>173</v>
      </c>
      <c r="E172" s="27" t="s">
        <v>5</v>
      </c>
      <c r="F172" s="38">
        <v>18.13</v>
      </c>
      <c r="G172" s="32" t="e">
        <f>VLOOKUP(DGXDCT_1!$D$172,#REF!,4,0)</f>
        <v>#REF!</v>
      </c>
      <c r="H172" s="29"/>
    </row>
    <row r="173" spans="1:8">
      <c r="A173" s="68"/>
      <c r="B173" s="69"/>
      <c r="C173" s="69">
        <v>3</v>
      </c>
      <c r="D173" s="70" t="s">
        <v>287</v>
      </c>
      <c r="E173" s="69" t="s">
        <v>6</v>
      </c>
      <c r="F173" s="71">
        <v>0.4</v>
      </c>
      <c r="G173" s="72" t="e">
        <f>VLOOKUP(DGXDCT_1!$D$173,#REF!,4,0)</f>
        <v>#REF!</v>
      </c>
      <c r="H173" s="73"/>
    </row>
    <row r="174" spans="1:8">
      <c r="A174" s="215" t="e">
        <f>#REF!</f>
        <v>#REF!</v>
      </c>
      <c r="B174" s="216" t="s">
        <v>243</v>
      </c>
      <c r="C174" s="216"/>
      <c r="D174" s="217" t="s">
        <v>244</v>
      </c>
      <c r="E174" s="216" t="s">
        <v>195</v>
      </c>
      <c r="F174" s="218"/>
      <c r="G174" s="219"/>
      <c r="H174" s="220" t="e">
        <f>#REF!</f>
        <v>#REF!</v>
      </c>
    </row>
    <row r="175" spans="1:8">
      <c r="A175" s="76"/>
      <c r="B175" s="77"/>
      <c r="C175" s="77">
        <v>1</v>
      </c>
      <c r="D175" s="78" t="s">
        <v>288</v>
      </c>
      <c r="E175" s="77" t="s">
        <v>273</v>
      </c>
      <c r="F175" s="79">
        <v>1005</v>
      </c>
      <c r="G175" s="80" t="e">
        <f>VLOOKUP(DGXDCT_1!$D$175,#REF!,4,0)</f>
        <v>#REF!</v>
      </c>
      <c r="H175" s="81"/>
    </row>
    <row r="176" spans="1:8">
      <c r="A176" s="76"/>
      <c r="B176" s="77"/>
      <c r="C176" s="77">
        <v>1</v>
      </c>
      <c r="D176" s="78" t="s">
        <v>286</v>
      </c>
      <c r="E176" s="77" t="s">
        <v>273</v>
      </c>
      <c r="F176" s="79">
        <v>21.42</v>
      </c>
      <c r="G176" s="80" t="e">
        <f>VLOOKUP(DGXDCT_1!$D$176,#REF!,4,0)</f>
        <v>#REF!</v>
      </c>
      <c r="H176" s="81"/>
    </row>
    <row r="177" spans="1:8">
      <c r="A177" s="26"/>
      <c r="B177" s="27"/>
      <c r="C177" s="27">
        <v>2</v>
      </c>
      <c r="D177" s="28" t="s">
        <v>173</v>
      </c>
      <c r="E177" s="27" t="s">
        <v>5</v>
      </c>
      <c r="F177" s="38">
        <v>18.13</v>
      </c>
      <c r="G177" s="32" t="e">
        <f>VLOOKUP(DGXDCT_1!$D$177,#REF!,4,0)</f>
        <v>#REF!</v>
      </c>
      <c r="H177" s="29"/>
    </row>
    <row r="178" spans="1:8">
      <c r="A178" s="68"/>
      <c r="B178" s="69"/>
      <c r="C178" s="69">
        <v>3</v>
      </c>
      <c r="D178" s="70" t="s">
        <v>287</v>
      </c>
      <c r="E178" s="69" t="s">
        <v>6</v>
      </c>
      <c r="F178" s="71">
        <v>0.4</v>
      </c>
      <c r="G178" s="72" t="e">
        <f>VLOOKUP(DGXDCT_1!$D$178,#REF!,4,0)</f>
        <v>#REF!</v>
      </c>
      <c r="H178" s="73"/>
    </row>
    <row r="179" spans="1:8">
      <c r="A179" s="215" t="e">
        <f>#REF!</f>
        <v>#REF!</v>
      </c>
      <c r="B179" s="216" t="s">
        <v>245</v>
      </c>
      <c r="C179" s="216"/>
      <c r="D179" s="217" t="s">
        <v>246</v>
      </c>
      <c r="E179" s="216" t="s">
        <v>195</v>
      </c>
      <c r="F179" s="218"/>
      <c r="G179" s="219"/>
      <c r="H179" s="220" t="e">
        <f>#REF!</f>
        <v>#REF!</v>
      </c>
    </row>
    <row r="180" spans="1:8">
      <c r="A180" s="76"/>
      <c r="B180" s="77"/>
      <c r="C180" s="77">
        <v>1</v>
      </c>
      <c r="D180" s="78" t="s">
        <v>307</v>
      </c>
      <c r="E180" s="77" t="s">
        <v>273</v>
      </c>
      <c r="F180" s="79">
        <v>1020</v>
      </c>
      <c r="G180" s="80" t="e">
        <f>VLOOKUP(DGXDCT_1!$D$180,#REF!,4,0)</f>
        <v>#REF!</v>
      </c>
      <c r="H180" s="81"/>
    </row>
    <row r="181" spans="1:8">
      <c r="A181" s="76"/>
      <c r="B181" s="77"/>
      <c r="C181" s="77">
        <v>1</v>
      </c>
      <c r="D181" s="78" t="s">
        <v>286</v>
      </c>
      <c r="E181" s="77" t="s">
        <v>273</v>
      </c>
      <c r="F181" s="79">
        <v>14.28</v>
      </c>
      <c r="G181" s="80" t="e">
        <f>VLOOKUP(DGXDCT_1!$D$181,#REF!,4,0)</f>
        <v>#REF!</v>
      </c>
      <c r="H181" s="81"/>
    </row>
    <row r="182" spans="1:8">
      <c r="A182" s="76"/>
      <c r="B182" s="77"/>
      <c r="C182" s="77">
        <v>1</v>
      </c>
      <c r="D182" s="78" t="s">
        <v>291</v>
      </c>
      <c r="E182" s="77" t="s">
        <v>273</v>
      </c>
      <c r="F182" s="79">
        <v>4.617</v>
      </c>
      <c r="G182" s="80" t="e">
        <f>VLOOKUP(DGXDCT_1!$D$182,#REF!,4,0)</f>
        <v>#REF!</v>
      </c>
      <c r="H182" s="81"/>
    </row>
    <row r="183" spans="1:8">
      <c r="A183" s="26"/>
      <c r="B183" s="27"/>
      <c r="C183" s="27">
        <v>2</v>
      </c>
      <c r="D183" s="28" t="s">
        <v>173</v>
      </c>
      <c r="E183" s="27" t="s">
        <v>5</v>
      </c>
      <c r="F183" s="38">
        <v>14.41</v>
      </c>
      <c r="G183" s="32" t="e">
        <f>VLOOKUP(DGXDCT_1!$D$183,#REF!,4,0)</f>
        <v>#REF!</v>
      </c>
      <c r="H183" s="29"/>
    </row>
    <row r="184" spans="1:8">
      <c r="A184" s="68"/>
      <c r="B184" s="69"/>
      <c r="C184" s="69">
        <v>3</v>
      </c>
      <c r="D184" s="70" t="s">
        <v>292</v>
      </c>
      <c r="E184" s="69" t="s">
        <v>6</v>
      </c>
      <c r="F184" s="71">
        <v>1.123</v>
      </c>
      <c r="G184" s="72" t="e">
        <f>VLOOKUP(DGXDCT_1!$D$184,#REF!,4,0)</f>
        <v>#REF!</v>
      </c>
      <c r="H184" s="73"/>
    </row>
    <row r="185" spans="1:8">
      <c r="A185" s="68"/>
      <c r="B185" s="69"/>
      <c r="C185" s="69">
        <v>3</v>
      </c>
      <c r="D185" s="70" t="s">
        <v>287</v>
      </c>
      <c r="E185" s="69" t="s">
        <v>6</v>
      </c>
      <c r="F185" s="71">
        <v>0.32</v>
      </c>
      <c r="G185" s="72" t="e">
        <f>VLOOKUP(DGXDCT_1!$D$185,#REF!,4,0)</f>
        <v>#REF!</v>
      </c>
      <c r="H185" s="73"/>
    </row>
    <row r="186" spans="1:8">
      <c r="A186" s="215" t="e">
        <f>#REF!</f>
        <v>#REF!</v>
      </c>
      <c r="B186" s="216" t="s">
        <v>247</v>
      </c>
      <c r="C186" s="216"/>
      <c r="D186" s="217" t="s">
        <v>248</v>
      </c>
      <c r="E186" s="216" t="s">
        <v>67</v>
      </c>
      <c r="F186" s="218"/>
      <c r="G186" s="219"/>
      <c r="H186" s="220" t="e">
        <f>#REF!</f>
        <v>#REF!</v>
      </c>
    </row>
    <row r="187" spans="1:8">
      <c r="A187" s="76"/>
      <c r="B187" s="77"/>
      <c r="C187" s="77">
        <v>1</v>
      </c>
      <c r="D187" s="78" t="s">
        <v>107</v>
      </c>
      <c r="E187" s="77" t="s">
        <v>30</v>
      </c>
      <c r="F187" s="79">
        <v>0.79200000000000004</v>
      </c>
      <c r="G187" s="80" t="e">
        <f>VLOOKUP(DGXDCT_1!$D$187,#REF!,4,0)</f>
        <v>#REF!</v>
      </c>
      <c r="H187" s="81"/>
    </row>
    <row r="188" spans="1:8">
      <c r="A188" s="76"/>
      <c r="B188" s="77"/>
      <c r="C188" s="77">
        <v>1</v>
      </c>
      <c r="D188" s="78" t="s">
        <v>308</v>
      </c>
      <c r="E188" s="77" t="s">
        <v>30</v>
      </c>
      <c r="F188" s="79">
        <v>0.98099999999999998</v>
      </c>
      <c r="G188" s="80" t="e">
        <f>VLOOKUP(DGXDCT_1!$D$188,#REF!,4,0)</f>
        <v>#REF!</v>
      </c>
      <c r="H188" s="81"/>
    </row>
    <row r="189" spans="1:8">
      <c r="A189" s="76"/>
      <c r="B189" s="77"/>
      <c r="C189" s="77">
        <v>1</v>
      </c>
      <c r="D189" s="78" t="s">
        <v>309</v>
      </c>
      <c r="E189" s="77" t="s">
        <v>273</v>
      </c>
      <c r="F189" s="79">
        <v>11.45</v>
      </c>
      <c r="G189" s="80" t="e">
        <f>VLOOKUP(DGXDCT_1!$D$189,#REF!,4,0)</f>
        <v>#REF!</v>
      </c>
      <c r="H189" s="81"/>
    </row>
    <row r="190" spans="1:8">
      <c r="A190" s="76"/>
      <c r="B190" s="77"/>
      <c r="C190" s="77">
        <v>1</v>
      </c>
      <c r="D190" s="78" t="s">
        <v>310</v>
      </c>
      <c r="E190" s="77" t="s">
        <v>210</v>
      </c>
      <c r="F190" s="79">
        <v>29</v>
      </c>
      <c r="G190" s="80" t="e">
        <f>VLOOKUP(DGXDCT_1!$D$190,#REF!,4,0)</f>
        <v>#REF!</v>
      </c>
      <c r="H190" s="81"/>
    </row>
    <row r="191" spans="1:8">
      <c r="A191" s="76"/>
      <c r="B191" s="77"/>
      <c r="C191" s="77">
        <v>1</v>
      </c>
      <c r="D191" s="78" t="s">
        <v>69</v>
      </c>
      <c r="E191" s="77" t="s">
        <v>31</v>
      </c>
      <c r="F191" s="79">
        <v>1</v>
      </c>
      <c r="G191" s="80" t="e">
        <f>VLOOKUP(DGXDCT_1!$D$191,#REF!,4,0)</f>
        <v>#REF!</v>
      </c>
      <c r="H191" s="81"/>
    </row>
    <row r="192" spans="1:8">
      <c r="A192" s="26"/>
      <c r="B192" s="27"/>
      <c r="C192" s="27">
        <v>2</v>
      </c>
      <c r="D192" s="28" t="s">
        <v>267</v>
      </c>
      <c r="E192" s="27" t="s">
        <v>5</v>
      </c>
      <c r="F192" s="38">
        <v>45.76</v>
      </c>
      <c r="G192" s="32" t="e">
        <f>VLOOKUP(DGXDCT_1!$D$192,#REF!,4,0)</f>
        <v>#REF!</v>
      </c>
      <c r="H192" s="29"/>
    </row>
    <row r="193" spans="1:8">
      <c r="A193" s="215" t="e">
        <f>#REF!</f>
        <v>#REF!</v>
      </c>
      <c r="B193" s="216" t="s">
        <v>249</v>
      </c>
      <c r="C193" s="216"/>
      <c r="D193" s="217" t="s">
        <v>250</v>
      </c>
      <c r="E193" s="216" t="s">
        <v>30</v>
      </c>
      <c r="F193" s="218"/>
      <c r="G193" s="219"/>
      <c r="H193" s="220" t="e">
        <f>#REF!</f>
        <v>#REF!</v>
      </c>
    </row>
    <row r="194" spans="1:8">
      <c r="A194" s="76"/>
      <c r="B194" s="77"/>
      <c r="C194" s="77">
        <v>1</v>
      </c>
      <c r="D194" s="78" t="s">
        <v>275</v>
      </c>
      <c r="E194" s="77" t="s">
        <v>273</v>
      </c>
      <c r="F194" s="79">
        <v>288.02499999999998</v>
      </c>
      <c r="G194" s="80" t="e">
        <f>VLOOKUP(DGXDCT_1!$D$194,#REF!,4,0)</f>
        <v>#REF!</v>
      </c>
      <c r="H194" s="81"/>
    </row>
    <row r="195" spans="1:8">
      <c r="A195" s="76"/>
      <c r="B195" s="77"/>
      <c r="C195" s="77">
        <v>1</v>
      </c>
      <c r="D195" s="78" t="s">
        <v>276</v>
      </c>
      <c r="E195" s="77" t="s">
        <v>30</v>
      </c>
      <c r="F195" s="79">
        <v>0.50532499999999991</v>
      </c>
      <c r="G195" s="80" t="e">
        <f>VLOOKUP(DGXDCT_1!$D$195,#REF!,4,0)</f>
        <v>#REF!</v>
      </c>
      <c r="H195" s="81"/>
    </row>
    <row r="196" spans="1:8">
      <c r="A196" s="76"/>
      <c r="B196" s="77"/>
      <c r="C196" s="77">
        <v>1</v>
      </c>
      <c r="D196" s="78" t="s">
        <v>277</v>
      </c>
      <c r="E196" s="77" t="s">
        <v>30</v>
      </c>
      <c r="F196" s="79">
        <v>0.91327499999999995</v>
      </c>
      <c r="G196" s="80" t="e">
        <f>VLOOKUP(DGXDCT_1!$D$196,#REF!,4,0)</f>
        <v>#REF!</v>
      </c>
      <c r="H196" s="81"/>
    </row>
    <row r="197" spans="1:8">
      <c r="A197" s="76"/>
      <c r="B197" s="77"/>
      <c r="C197" s="77">
        <v>1</v>
      </c>
      <c r="D197" s="78" t="s">
        <v>278</v>
      </c>
      <c r="E197" s="77" t="s">
        <v>279</v>
      </c>
      <c r="F197" s="79">
        <v>189.62499999999997</v>
      </c>
      <c r="G197" s="80" t="e">
        <f>VLOOKUP(DGXDCT_1!$D$197,#REF!,4,0)</f>
        <v>#REF!</v>
      </c>
      <c r="H197" s="81"/>
    </row>
    <row r="198" spans="1:8">
      <c r="A198" s="76"/>
      <c r="B198" s="77"/>
      <c r="C198" s="77">
        <v>1</v>
      </c>
      <c r="D198" s="78" t="s">
        <v>69</v>
      </c>
      <c r="E198" s="77" t="s">
        <v>31</v>
      </c>
      <c r="F198" s="79">
        <v>1</v>
      </c>
      <c r="G198" s="80" t="e">
        <f>VLOOKUP(DGXDCT_1!$D$198,#REF!,4,0)</f>
        <v>#REF!</v>
      </c>
      <c r="H198" s="81"/>
    </row>
    <row r="199" spans="1:8">
      <c r="A199" s="26"/>
      <c r="B199" s="27"/>
      <c r="C199" s="27">
        <v>2</v>
      </c>
      <c r="D199" s="28" t="s">
        <v>173</v>
      </c>
      <c r="E199" s="27" t="s">
        <v>5</v>
      </c>
      <c r="F199" s="38">
        <v>2.9</v>
      </c>
      <c r="G199" s="32" t="e">
        <f>VLOOKUP(DGXDCT_1!$D$199,#REF!,4,0)</f>
        <v>#REF!</v>
      </c>
      <c r="H199" s="29"/>
    </row>
    <row r="200" spans="1:8">
      <c r="A200" s="68"/>
      <c r="B200" s="69"/>
      <c r="C200" s="69">
        <v>3</v>
      </c>
      <c r="D200" s="70" t="s">
        <v>289</v>
      </c>
      <c r="E200" s="69" t="s">
        <v>6</v>
      </c>
      <c r="F200" s="71">
        <v>9.5000000000000001E-2</v>
      </c>
      <c r="G200" s="72" t="e">
        <f>VLOOKUP(DGXDCT_1!$D$200,#REF!,4,0)</f>
        <v>#REF!</v>
      </c>
      <c r="H200" s="73"/>
    </row>
    <row r="201" spans="1:8">
      <c r="A201" s="68"/>
      <c r="B201" s="69"/>
      <c r="C201" s="69">
        <v>3</v>
      </c>
      <c r="D201" s="70" t="s">
        <v>284</v>
      </c>
      <c r="E201" s="69" t="s">
        <v>6</v>
      </c>
      <c r="F201" s="71">
        <v>8.8999999999999996E-2</v>
      </c>
      <c r="G201" s="72" t="e">
        <f>VLOOKUP(DGXDCT_1!$D$201,#REF!,4,0)</f>
        <v>#REF!</v>
      </c>
      <c r="H201" s="73"/>
    </row>
    <row r="202" spans="1:8">
      <c r="A202" s="68"/>
      <c r="B202" s="69"/>
      <c r="C202" s="69">
        <v>3</v>
      </c>
      <c r="D202" s="70" t="s">
        <v>311</v>
      </c>
      <c r="E202" s="69" t="s">
        <v>6</v>
      </c>
      <c r="F202" s="71">
        <v>0.11</v>
      </c>
      <c r="G202" s="72" t="e">
        <f>VLOOKUP(DGXDCT_1!$D$202,#REF!,4,0)</f>
        <v>#REF!</v>
      </c>
      <c r="H202" s="73"/>
    </row>
    <row r="203" spans="1:8">
      <c r="A203" s="215" t="e">
        <f>#REF!</f>
        <v>#REF!</v>
      </c>
      <c r="B203" s="216" t="s">
        <v>251</v>
      </c>
      <c r="C203" s="216"/>
      <c r="D203" s="217" t="s">
        <v>252</v>
      </c>
      <c r="E203" s="216" t="s">
        <v>30</v>
      </c>
      <c r="F203" s="218"/>
      <c r="G203" s="219"/>
      <c r="H203" s="220" t="e">
        <f>#REF!</f>
        <v>#REF!</v>
      </c>
    </row>
    <row r="204" spans="1:8">
      <c r="A204" s="76"/>
      <c r="B204" s="77"/>
      <c r="C204" s="77">
        <v>1</v>
      </c>
      <c r="D204" s="78" t="s">
        <v>275</v>
      </c>
      <c r="E204" s="77" t="s">
        <v>273</v>
      </c>
      <c r="F204" s="79">
        <v>289.43</v>
      </c>
      <c r="G204" s="80" t="e">
        <f>VLOOKUP(DGXDCT_1!$D$204,#REF!,4,0)</f>
        <v>#REF!</v>
      </c>
      <c r="H204" s="81"/>
    </row>
    <row r="205" spans="1:8">
      <c r="A205" s="76"/>
      <c r="B205" s="77"/>
      <c r="C205" s="77">
        <v>1</v>
      </c>
      <c r="D205" s="78" t="s">
        <v>276</v>
      </c>
      <c r="E205" s="77" t="s">
        <v>30</v>
      </c>
      <c r="F205" s="79">
        <v>0.50778999999999996</v>
      </c>
      <c r="G205" s="80" t="e">
        <f>VLOOKUP(DGXDCT_1!$D$205,#REF!,4,0)</f>
        <v>#REF!</v>
      </c>
      <c r="H205" s="81"/>
    </row>
    <row r="206" spans="1:8">
      <c r="A206" s="76"/>
      <c r="B206" s="77"/>
      <c r="C206" s="77">
        <v>1</v>
      </c>
      <c r="D206" s="78" t="s">
        <v>277</v>
      </c>
      <c r="E206" s="77" t="s">
        <v>30</v>
      </c>
      <c r="F206" s="79">
        <v>0.91773000000000005</v>
      </c>
      <c r="G206" s="80" t="e">
        <f>VLOOKUP(DGXDCT_1!$D$206,#REF!,4,0)</f>
        <v>#REF!</v>
      </c>
      <c r="H206" s="81"/>
    </row>
    <row r="207" spans="1:8">
      <c r="A207" s="76"/>
      <c r="B207" s="77"/>
      <c r="C207" s="77">
        <v>1</v>
      </c>
      <c r="D207" s="78" t="s">
        <v>278</v>
      </c>
      <c r="E207" s="77" t="s">
        <v>279</v>
      </c>
      <c r="F207" s="79">
        <v>190.55</v>
      </c>
      <c r="G207" s="80" t="e">
        <f>VLOOKUP(DGXDCT_1!$D$207,#REF!,4,0)</f>
        <v>#REF!</v>
      </c>
      <c r="H207" s="81"/>
    </row>
    <row r="208" spans="1:8">
      <c r="A208" s="76"/>
      <c r="B208" s="77"/>
      <c r="C208" s="77">
        <v>1</v>
      </c>
      <c r="D208" s="78" t="s">
        <v>69</v>
      </c>
      <c r="E208" s="77" t="s">
        <v>31</v>
      </c>
      <c r="F208" s="79">
        <v>1</v>
      </c>
      <c r="G208" s="80" t="e">
        <f>VLOOKUP(DGXDCT_1!$D$208,#REF!,4,0)</f>
        <v>#REF!</v>
      </c>
      <c r="H208" s="81"/>
    </row>
    <row r="209" spans="1:8">
      <c r="A209" s="26"/>
      <c r="B209" s="27"/>
      <c r="C209" s="27">
        <v>2</v>
      </c>
      <c r="D209" s="28" t="s">
        <v>174</v>
      </c>
      <c r="E209" s="27" t="s">
        <v>5</v>
      </c>
      <c r="F209" s="38">
        <v>1.58</v>
      </c>
      <c r="G209" s="32" t="e">
        <f>VLOOKUP(DGXDCT_1!$D$209,#REF!,4,0)</f>
        <v>#REF!</v>
      </c>
      <c r="H209" s="29"/>
    </row>
    <row r="210" spans="1:8">
      <c r="A210" s="68"/>
      <c r="B210" s="69"/>
      <c r="C210" s="69">
        <v>3</v>
      </c>
      <c r="D210" s="70" t="s">
        <v>289</v>
      </c>
      <c r="E210" s="69" t="s">
        <v>6</v>
      </c>
      <c r="F210" s="71">
        <v>9.5000000000000001E-2</v>
      </c>
      <c r="G210" s="72" t="e">
        <f>VLOOKUP(DGXDCT_1!$D$210,#REF!,4,0)</f>
        <v>#REF!</v>
      </c>
      <c r="H210" s="73"/>
    </row>
    <row r="211" spans="1:8">
      <c r="A211" s="68"/>
      <c r="B211" s="69"/>
      <c r="C211" s="69">
        <v>3</v>
      </c>
      <c r="D211" s="70" t="s">
        <v>283</v>
      </c>
      <c r="E211" s="69" t="s">
        <v>6</v>
      </c>
      <c r="F211" s="71">
        <v>8.8999999999999996E-2</v>
      </c>
      <c r="G211" s="72" t="e">
        <f>VLOOKUP(DGXDCT_1!$D$211,#REF!,4,0)</f>
        <v>#REF!</v>
      </c>
      <c r="H211" s="73"/>
    </row>
    <row r="212" spans="1:8">
      <c r="A212" s="215" t="e">
        <f>#REF!</f>
        <v>#REF!</v>
      </c>
      <c r="B212" s="216" t="s">
        <v>102</v>
      </c>
      <c r="C212" s="216"/>
      <c r="D212" s="217" t="s">
        <v>253</v>
      </c>
      <c r="E212" s="216"/>
      <c r="F212" s="218"/>
      <c r="G212" s="219"/>
      <c r="H212" s="220" t="e">
        <f>#REF!</f>
        <v>#REF!</v>
      </c>
    </row>
    <row r="213" spans="1:8">
      <c r="A213" s="215" t="e">
        <f>#REF!</f>
        <v>#REF!</v>
      </c>
      <c r="B213" s="216" t="s">
        <v>234</v>
      </c>
      <c r="C213" s="216"/>
      <c r="D213" s="217" t="s">
        <v>235</v>
      </c>
      <c r="E213" s="216" t="s">
        <v>30</v>
      </c>
      <c r="F213" s="218"/>
      <c r="G213" s="219"/>
      <c r="H213" s="220" t="e">
        <f>#REF!</f>
        <v>#REF!</v>
      </c>
    </row>
    <row r="214" spans="1:8">
      <c r="A214" s="26"/>
      <c r="B214" s="27"/>
      <c r="C214" s="27">
        <v>2</v>
      </c>
      <c r="D214" s="28" t="s">
        <v>174</v>
      </c>
      <c r="E214" s="27" t="s">
        <v>5</v>
      </c>
      <c r="F214" s="38">
        <v>0.56000000000000005</v>
      </c>
      <c r="G214" s="32" t="e">
        <f>VLOOKUP(DGXDCT_1!$D$214,#REF!,4,0)</f>
        <v>#REF!</v>
      </c>
      <c r="H214" s="29"/>
    </row>
    <row r="215" spans="1:8">
      <c r="A215" s="215" t="e">
        <f>#REF!</f>
        <v>#REF!</v>
      </c>
      <c r="B215" s="216" t="s">
        <v>186</v>
      </c>
      <c r="C215" s="216"/>
      <c r="D215" s="217" t="s">
        <v>238</v>
      </c>
      <c r="E215" s="216" t="s">
        <v>67</v>
      </c>
      <c r="F215" s="218"/>
      <c r="G215" s="219"/>
      <c r="H215" s="220" t="e">
        <f>#REF!</f>
        <v>#REF!</v>
      </c>
    </row>
    <row r="216" spans="1:8">
      <c r="A216" s="76"/>
      <c r="B216" s="77"/>
      <c r="C216" s="77">
        <v>1</v>
      </c>
      <c r="D216" s="78" t="s">
        <v>271</v>
      </c>
      <c r="E216" s="77" t="s">
        <v>88</v>
      </c>
      <c r="F216" s="79">
        <v>110</v>
      </c>
      <c r="G216" s="80" t="e">
        <f>VLOOKUP(DGXDCT_1!$D$216,#REF!,4,0)</f>
        <v>#REF!</v>
      </c>
      <c r="H216" s="81"/>
    </row>
    <row r="217" spans="1:8">
      <c r="A217" s="76"/>
      <c r="B217" s="77"/>
      <c r="C217" s="77">
        <v>1</v>
      </c>
      <c r="D217" s="78" t="s">
        <v>69</v>
      </c>
      <c r="E217" s="77" t="s">
        <v>31</v>
      </c>
      <c r="F217" s="79">
        <v>0.2</v>
      </c>
      <c r="G217" s="80" t="e">
        <f>VLOOKUP(DGXDCT_1!$D$217,#REF!,4,0)</f>
        <v>#REF!</v>
      </c>
      <c r="H217" s="81"/>
    </row>
    <row r="218" spans="1:8">
      <c r="A218" s="26"/>
      <c r="B218" s="27"/>
      <c r="C218" s="27">
        <v>2</v>
      </c>
      <c r="D218" s="28" t="s">
        <v>173</v>
      </c>
      <c r="E218" s="27" t="s">
        <v>5</v>
      </c>
      <c r="F218" s="38">
        <v>1.18</v>
      </c>
      <c r="G218" s="32" t="e">
        <f>VLOOKUP(DGXDCT_1!$D$218,#REF!,4,0)</f>
        <v>#REF!</v>
      </c>
      <c r="H218" s="29"/>
    </row>
    <row r="219" spans="1:8">
      <c r="A219" s="215" t="e">
        <f>#REF!</f>
        <v>#REF!</v>
      </c>
      <c r="B219" s="216" t="s">
        <v>239</v>
      </c>
      <c r="C219" s="216"/>
      <c r="D219" s="217" t="s">
        <v>240</v>
      </c>
      <c r="E219" s="216" t="s">
        <v>30</v>
      </c>
      <c r="F219" s="218"/>
      <c r="G219" s="219"/>
      <c r="H219" s="220" t="e">
        <f>#REF!</f>
        <v>#REF!</v>
      </c>
    </row>
    <row r="220" spans="1:8">
      <c r="A220" s="76"/>
      <c r="B220" s="77"/>
      <c r="C220" s="77">
        <v>1</v>
      </c>
      <c r="D220" s="78" t="s">
        <v>275</v>
      </c>
      <c r="E220" s="77" t="s">
        <v>273</v>
      </c>
      <c r="F220" s="79">
        <v>239.99</v>
      </c>
      <c r="G220" s="80" t="e">
        <f>VLOOKUP(DGXDCT_1!$D$220,#REF!,4,0)</f>
        <v>#REF!</v>
      </c>
      <c r="H220" s="81"/>
    </row>
    <row r="221" spans="1:8">
      <c r="A221" s="76"/>
      <c r="B221" s="77"/>
      <c r="C221" s="77">
        <v>1</v>
      </c>
      <c r="D221" s="78" t="s">
        <v>276</v>
      </c>
      <c r="E221" s="77" t="s">
        <v>30</v>
      </c>
      <c r="F221" s="79">
        <v>0.52529999999999999</v>
      </c>
      <c r="G221" s="80" t="e">
        <f>VLOOKUP(DGXDCT_1!$D$221,#REF!,4,0)</f>
        <v>#REF!</v>
      </c>
      <c r="H221" s="81"/>
    </row>
    <row r="222" spans="1:8">
      <c r="A222" s="76"/>
      <c r="B222" s="77"/>
      <c r="C222" s="77">
        <v>1</v>
      </c>
      <c r="D222" s="78" t="s">
        <v>277</v>
      </c>
      <c r="E222" s="77" t="s">
        <v>30</v>
      </c>
      <c r="F222" s="79">
        <v>0.93009000000000008</v>
      </c>
      <c r="G222" s="80" t="e">
        <f>VLOOKUP(DGXDCT_1!$D$222,#REF!,4,0)</f>
        <v>#REF!</v>
      </c>
      <c r="H222" s="81"/>
    </row>
    <row r="223" spans="1:8">
      <c r="A223" s="76"/>
      <c r="B223" s="77"/>
      <c r="C223" s="77">
        <v>1</v>
      </c>
      <c r="D223" s="78" t="s">
        <v>278</v>
      </c>
      <c r="E223" s="77" t="s">
        <v>279</v>
      </c>
      <c r="F223" s="79">
        <v>190.55</v>
      </c>
      <c r="G223" s="80" t="e">
        <f>VLOOKUP(DGXDCT_1!$D$223,#REF!,4,0)</f>
        <v>#REF!</v>
      </c>
      <c r="H223" s="81"/>
    </row>
    <row r="224" spans="1:8">
      <c r="A224" s="26"/>
      <c r="B224" s="27"/>
      <c r="C224" s="27">
        <v>2</v>
      </c>
      <c r="D224" s="28" t="s">
        <v>174</v>
      </c>
      <c r="E224" s="27" t="s">
        <v>5</v>
      </c>
      <c r="F224" s="38">
        <v>1.42</v>
      </c>
      <c r="G224" s="32" t="e">
        <f>VLOOKUP(DGXDCT_1!$D$224,#REF!,4,0)</f>
        <v>#REF!</v>
      </c>
      <c r="H224" s="29"/>
    </row>
    <row r="225" spans="1:8">
      <c r="A225" s="68"/>
      <c r="B225" s="69"/>
      <c r="C225" s="69">
        <v>3</v>
      </c>
      <c r="D225" s="70" t="s">
        <v>289</v>
      </c>
      <c r="E225" s="69" t="s">
        <v>6</v>
      </c>
      <c r="F225" s="71">
        <v>9.5000000000000001E-2</v>
      </c>
      <c r="G225" s="72" t="e">
        <f>VLOOKUP(DGXDCT_1!$D$225,#REF!,4,0)</f>
        <v>#REF!</v>
      </c>
      <c r="H225" s="73"/>
    </row>
    <row r="226" spans="1:8">
      <c r="A226" s="68"/>
      <c r="B226" s="69"/>
      <c r="C226" s="69">
        <v>3</v>
      </c>
      <c r="D226" s="70" t="s">
        <v>283</v>
      </c>
      <c r="E226" s="69" t="s">
        <v>6</v>
      </c>
      <c r="F226" s="71">
        <v>8.8999999999999996E-2</v>
      </c>
      <c r="G226" s="72" t="e">
        <f>VLOOKUP(DGXDCT_1!$D$226,#REF!,4,0)</f>
        <v>#REF!</v>
      </c>
      <c r="H226" s="73"/>
    </row>
    <row r="227" spans="1:8">
      <c r="A227" s="215" t="e">
        <f>#REF!</f>
        <v>#REF!</v>
      </c>
      <c r="B227" s="216" t="s">
        <v>241</v>
      </c>
      <c r="C227" s="216"/>
      <c r="D227" s="217" t="s">
        <v>242</v>
      </c>
      <c r="E227" s="216" t="s">
        <v>195</v>
      </c>
      <c r="F227" s="218"/>
      <c r="G227" s="219"/>
      <c r="H227" s="220" t="e">
        <f>#REF!</f>
        <v>#REF!</v>
      </c>
    </row>
    <row r="228" spans="1:8">
      <c r="A228" s="76"/>
      <c r="B228" s="77"/>
      <c r="C228" s="77">
        <v>1</v>
      </c>
      <c r="D228" s="78" t="s">
        <v>285</v>
      </c>
      <c r="E228" s="77" t="s">
        <v>273</v>
      </c>
      <c r="F228" s="79">
        <v>1005</v>
      </c>
      <c r="G228" s="80" t="e">
        <f>VLOOKUP(DGXDCT_1!$D$228,#REF!,4,0)</f>
        <v>#REF!</v>
      </c>
      <c r="H228" s="81"/>
    </row>
    <row r="229" spans="1:8">
      <c r="A229" s="76"/>
      <c r="B229" s="77"/>
      <c r="C229" s="77">
        <v>1</v>
      </c>
      <c r="D229" s="78" t="s">
        <v>286</v>
      </c>
      <c r="E229" s="77" t="s">
        <v>273</v>
      </c>
      <c r="F229" s="79">
        <v>21.42</v>
      </c>
      <c r="G229" s="80" t="e">
        <f>VLOOKUP(DGXDCT_1!$D$229,#REF!,4,0)</f>
        <v>#REF!</v>
      </c>
      <c r="H229" s="81"/>
    </row>
    <row r="230" spans="1:8">
      <c r="A230" s="26"/>
      <c r="B230" s="27"/>
      <c r="C230" s="27">
        <v>2</v>
      </c>
      <c r="D230" s="28" t="s">
        <v>173</v>
      </c>
      <c r="E230" s="27" t="s">
        <v>5</v>
      </c>
      <c r="F230" s="38">
        <v>18.13</v>
      </c>
      <c r="G230" s="32" t="e">
        <f>VLOOKUP(DGXDCT_1!$D$230,#REF!,4,0)</f>
        <v>#REF!</v>
      </c>
      <c r="H230" s="29"/>
    </row>
    <row r="231" spans="1:8">
      <c r="A231" s="68"/>
      <c r="B231" s="69"/>
      <c r="C231" s="69">
        <v>3</v>
      </c>
      <c r="D231" s="70" t="s">
        <v>287</v>
      </c>
      <c r="E231" s="69" t="s">
        <v>6</v>
      </c>
      <c r="F231" s="71">
        <v>0.4</v>
      </c>
      <c r="G231" s="72" t="e">
        <f>VLOOKUP(DGXDCT_1!$D$231,#REF!,4,0)</f>
        <v>#REF!</v>
      </c>
      <c r="H231" s="73"/>
    </row>
    <row r="232" spans="1:8">
      <c r="A232" s="215" t="e">
        <f>#REF!</f>
        <v>#REF!</v>
      </c>
      <c r="B232" s="216" t="s">
        <v>243</v>
      </c>
      <c r="C232" s="216"/>
      <c r="D232" s="217" t="s">
        <v>244</v>
      </c>
      <c r="E232" s="216" t="s">
        <v>195</v>
      </c>
      <c r="F232" s="218"/>
      <c r="G232" s="219"/>
      <c r="H232" s="220" t="e">
        <f>#REF!</f>
        <v>#REF!</v>
      </c>
    </row>
    <row r="233" spans="1:8">
      <c r="A233" s="76"/>
      <c r="B233" s="77"/>
      <c r="C233" s="77">
        <v>1</v>
      </c>
      <c r="D233" s="78" t="s">
        <v>288</v>
      </c>
      <c r="E233" s="77" t="s">
        <v>273</v>
      </c>
      <c r="F233" s="79">
        <v>1005</v>
      </c>
      <c r="G233" s="80" t="e">
        <f>VLOOKUP(DGXDCT_1!$D$233,#REF!,4,0)</f>
        <v>#REF!</v>
      </c>
      <c r="H233" s="81"/>
    </row>
    <row r="234" spans="1:8">
      <c r="A234" s="76"/>
      <c r="B234" s="77"/>
      <c r="C234" s="77">
        <v>1</v>
      </c>
      <c r="D234" s="78" t="s">
        <v>286</v>
      </c>
      <c r="E234" s="77" t="s">
        <v>273</v>
      </c>
      <c r="F234" s="79">
        <v>21.42</v>
      </c>
      <c r="G234" s="80" t="e">
        <f>VLOOKUP(DGXDCT_1!$D$234,#REF!,4,0)</f>
        <v>#REF!</v>
      </c>
      <c r="H234" s="81"/>
    </row>
    <row r="235" spans="1:8">
      <c r="A235" s="26"/>
      <c r="B235" s="27"/>
      <c r="C235" s="27">
        <v>2</v>
      </c>
      <c r="D235" s="28" t="s">
        <v>173</v>
      </c>
      <c r="E235" s="27" t="s">
        <v>5</v>
      </c>
      <c r="F235" s="38">
        <v>18.13</v>
      </c>
      <c r="G235" s="32" t="e">
        <f>VLOOKUP(DGXDCT_1!$D$235,#REF!,4,0)</f>
        <v>#REF!</v>
      </c>
      <c r="H235" s="29"/>
    </row>
    <row r="236" spans="1:8">
      <c r="A236" s="68"/>
      <c r="B236" s="69"/>
      <c r="C236" s="69">
        <v>3</v>
      </c>
      <c r="D236" s="70" t="s">
        <v>287</v>
      </c>
      <c r="E236" s="69" t="s">
        <v>6</v>
      </c>
      <c r="F236" s="71">
        <v>0.4</v>
      </c>
      <c r="G236" s="72" t="e">
        <f>VLOOKUP(DGXDCT_1!$D$236,#REF!,4,0)</f>
        <v>#REF!</v>
      </c>
      <c r="H236" s="73"/>
    </row>
    <row r="237" spans="1:8">
      <c r="A237" s="215" t="e">
        <f>#REF!</f>
        <v>#REF!</v>
      </c>
      <c r="B237" s="216" t="s">
        <v>245</v>
      </c>
      <c r="C237" s="216"/>
      <c r="D237" s="217" t="s">
        <v>246</v>
      </c>
      <c r="E237" s="216" t="s">
        <v>195</v>
      </c>
      <c r="F237" s="218"/>
      <c r="G237" s="219"/>
      <c r="H237" s="220" t="e">
        <f>#REF!</f>
        <v>#REF!</v>
      </c>
    </row>
    <row r="238" spans="1:8">
      <c r="A238" s="76"/>
      <c r="B238" s="77"/>
      <c r="C238" s="77">
        <v>1</v>
      </c>
      <c r="D238" s="78" t="s">
        <v>307</v>
      </c>
      <c r="E238" s="77" t="s">
        <v>273</v>
      </c>
      <c r="F238" s="79">
        <v>1020</v>
      </c>
      <c r="G238" s="80" t="e">
        <f>VLOOKUP(DGXDCT_1!$D$238,#REF!,4,0)</f>
        <v>#REF!</v>
      </c>
      <c r="H238" s="81"/>
    </row>
    <row r="239" spans="1:8">
      <c r="A239" s="76"/>
      <c r="B239" s="77"/>
      <c r="C239" s="77">
        <v>1</v>
      </c>
      <c r="D239" s="78" t="s">
        <v>286</v>
      </c>
      <c r="E239" s="77" t="s">
        <v>273</v>
      </c>
      <c r="F239" s="79">
        <v>14.28</v>
      </c>
      <c r="G239" s="80" t="e">
        <f>VLOOKUP(DGXDCT_1!$D$239,#REF!,4,0)</f>
        <v>#REF!</v>
      </c>
      <c r="H239" s="81"/>
    </row>
    <row r="240" spans="1:8">
      <c r="A240" s="76"/>
      <c r="B240" s="77"/>
      <c r="C240" s="77">
        <v>1</v>
      </c>
      <c r="D240" s="78" t="s">
        <v>291</v>
      </c>
      <c r="E240" s="77" t="s">
        <v>273</v>
      </c>
      <c r="F240" s="79">
        <v>4.617</v>
      </c>
      <c r="G240" s="80" t="e">
        <f>VLOOKUP(DGXDCT_1!$D$240,#REF!,4,0)</f>
        <v>#REF!</v>
      </c>
      <c r="H240" s="81"/>
    </row>
    <row r="241" spans="1:8">
      <c r="A241" s="26"/>
      <c r="B241" s="27"/>
      <c r="C241" s="27">
        <v>2</v>
      </c>
      <c r="D241" s="28" t="s">
        <v>173</v>
      </c>
      <c r="E241" s="27" t="s">
        <v>5</v>
      </c>
      <c r="F241" s="38">
        <v>14.41</v>
      </c>
      <c r="G241" s="32" t="e">
        <f>VLOOKUP(DGXDCT_1!$D$241,#REF!,4,0)</f>
        <v>#REF!</v>
      </c>
      <c r="H241" s="29"/>
    </row>
    <row r="242" spans="1:8">
      <c r="A242" s="68"/>
      <c r="B242" s="69"/>
      <c r="C242" s="69">
        <v>3</v>
      </c>
      <c r="D242" s="70" t="s">
        <v>292</v>
      </c>
      <c r="E242" s="69" t="s">
        <v>6</v>
      </c>
      <c r="F242" s="71">
        <v>1.123</v>
      </c>
      <c r="G242" s="72" t="e">
        <f>VLOOKUP(DGXDCT_1!$D$242,#REF!,4,0)</f>
        <v>#REF!</v>
      </c>
      <c r="H242" s="73"/>
    </row>
    <row r="243" spans="1:8">
      <c r="A243" s="68"/>
      <c r="B243" s="69"/>
      <c r="C243" s="69">
        <v>3</v>
      </c>
      <c r="D243" s="70" t="s">
        <v>287</v>
      </c>
      <c r="E243" s="69" t="s">
        <v>6</v>
      </c>
      <c r="F243" s="71">
        <v>0.32</v>
      </c>
      <c r="G243" s="72" t="e">
        <f>VLOOKUP(DGXDCT_1!$D$243,#REF!,4,0)</f>
        <v>#REF!</v>
      </c>
      <c r="H243" s="73"/>
    </row>
    <row r="244" spans="1:8">
      <c r="A244" s="215" t="e">
        <f>#REF!</f>
        <v>#REF!</v>
      </c>
      <c r="B244" s="216" t="s">
        <v>247</v>
      </c>
      <c r="C244" s="216"/>
      <c r="D244" s="217" t="s">
        <v>248</v>
      </c>
      <c r="E244" s="216" t="s">
        <v>67</v>
      </c>
      <c r="F244" s="218"/>
      <c r="G244" s="219"/>
      <c r="H244" s="220" t="e">
        <f>#REF!</f>
        <v>#REF!</v>
      </c>
    </row>
    <row r="245" spans="1:8">
      <c r="A245" s="76"/>
      <c r="B245" s="77"/>
      <c r="C245" s="77">
        <v>1</v>
      </c>
      <c r="D245" s="78" t="s">
        <v>107</v>
      </c>
      <c r="E245" s="77" t="s">
        <v>30</v>
      </c>
      <c r="F245" s="79">
        <v>0.79200000000000004</v>
      </c>
      <c r="G245" s="80" t="e">
        <f>VLOOKUP(DGXDCT_1!$D$245,#REF!,4,0)</f>
        <v>#REF!</v>
      </c>
      <c r="H245" s="81"/>
    </row>
    <row r="246" spans="1:8">
      <c r="A246" s="76"/>
      <c r="B246" s="77"/>
      <c r="C246" s="77">
        <v>1</v>
      </c>
      <c r="D246" s="78" t="s">
        <v>308</v>
      </c>
      <c r="E246" s="77" t="s">
        <v>30</v>
      </c>
      <c r="F246" s="79">
        <v>0.98099999999999998</v>
      </c>
      <c r="G246" s="80" t="e">
        <f>VLOOKUP(DGXDCT_1!$D$246,#REF!,4,0)</f>
        <v>#REF!</v>
      </c>
      <c r="H246" s="81"/>
    </row>
    <row r="247" spans="1:8">
      <c r="A247" s="76"/>
      <c r="B247" s="77"/>
      <c r="C247" s="77">
        <v>1</v>
      </c>
      <c r="D247" s="78" t="s">
        <v>309</v>
      </c>
      <c r="E247" s="77" t="s">
        <v>273</v>
      </c>
      <c r="F247" s="79">
        <v>11.45</v>
      </c>
      <c r="G247" s="80" t="e">
        <f>VLOOKUP(DGXDCT_1!$D$247,#REF!,4,0)</f>
        <v>#REF!</v>
      </c>
      <c r="H247" s="81"/>
    </row>
    <row r="248" spans="1:8">
      <c r="A248" s="76"/>
      <c r="B248" s="77"/>
      <c r="C248" s="77">
        <v>1</v>
      </c>
      <c r="D248" s="78" t="s">
        <v>310</v>
      </c>
      <c r="E248" s="77" t="s">
        <v>210</v>
      </c>
      <c r="F248" s="79">
        <v>29</v>
      </c>
      <c r="G248" s="80" t="e">
        <f>VLOOKUP(DGXDCT_1!$D$248,#REF!,4,0)</f>
        <v>#REF!</v>
      </c>
      <c r="H248" s="81"/>
    </row>
    <row r="249" spans="1:8">
      <c r="A249" s="76"/>
      <c r="B249" s="77"/>
      <c r="C249" s="77">
        <v>1</v>
      </c>
      <c r="D249" s="78" t="s">
        <v>69</v>
      </c>
      <c r="E249" s="77" t="s">
        <v>31</v>
      </c>
      <c r="F249" s="79">
        <v>1</v>
      </c>
      <c r="G249" s="80" t="e">
        <f>VLOOKUP(DGXDCT_1!$D$249,#REF!,4,0)</f>
        <v>#REF!</v>
      </c>
      <c r="H249" s="81"/>
    </row>
    <row r="250" spans="1:8">
      <c r="A250" s="26"/>
      <c r="B250" s="27"/>
      <c r="C250" s="27">
        <v>2</v>
      </c>
      <c r="D250" s="28" t="s">
        <v>267</v>
      </c>
      <c r="E250" s="27" t="s">
        <v>5</v>
      </c>
      <c r="F250" s="38">
        <v>45.76</v>
      </c>
      <c r="G250" s="32" t="e">
        <f>VLOOKUP(DGXDCT_1!$D$250,#REF!,4,0)</f>
        <v>#REF!</v>
      </c>
      <c r="H250" s="29"/>
    </row>
    <row r="251" spans="1:8">
      <c r="A251" s="215" t="e">
        <f>#REF!</f>
        <v>#REF!</v>
      </c>
      <c r="B251" s="216" t="s">
        <v>249</v>
      </c>
      <c r="C251" s="216"/>
      <c r="D251" s="217" t="s">
        <v>250</v>
      </c>
      <c r="E251" s="216" t="s">
        <v>30</v>
      </c>
      <c r="F251" s="218"/>
      <c r="G251" s="219"/>
      <c r="H251" s="220" t="e">
        <f>#REF!</f>
        <v>#REF!</v>
      </c>
    </row>
    <row r="252" spans="1:8">
      <c r="A252" s="76"/>
      <c r="B252" s="77"/>
      <c r="C252" s="77">
        <v>1</v>
      </c>
      <c r="D252" s="78" t="s">
        <v>275</v>
      </c>
      <c r="E252" s="77" t="s">
        <v>273</v>
      </c>
      <c r="F252" s="79">
        <v>288.02499999999998</v>
      </c>
      <c r="G252" s="80" t="e">
        <f>VLOOKUP(DGXDCT_1!$D$252,#REF!,4,0)</f>
        <v>#REF!</v>
      </c>
      <c r="H252" s="81"/>
    </row>
    <row r="253" spans="1:8">
      <c r="A253" s="76"/>
      <c r="B253" s="77"/>
      <c r="C253" s="77">
        <v>1</v>
      </c>
      <c r="D253" s="78" t="s">
        <v>276</v>
      </c>
      <c r="E253" s="77" t="s">
        <v>30</v>
      </c>
      <c r="F253" s="79">
        <v>0.50532499999999991</v>
      </c>
      <c r="G253" s="80" t="e">
        <f>VLOOKUP(DGXDCT_1!$D$253,#REF!,4,0)</f>
        <v>#REF!</v>
      </c>
      <c r="H253" s="81"/>
    </row>
    <row r="254" spans="1:8">
      <c r="A254" s="76"/>
      <c r="B254" s="77"/>
      <c r="C254" s="77">
        <v>1</v>
      </c>
      <c r="D254" s="78" t="s">
        <v>277</v>
      </c>
      <c r="E254" s="77" t="s">
        <v>30</v>
      </c>
      <c r="F254" s="79">
        <v>0.91327499999999995</v>
      </c>
      <c r="G254" s="80" t="e">
        <f>VLOOKUP(DGXDCT_1!$D$254,#REF!,4,0)</f>
        <v>#REF!</v>
      </c>
      <c r="H254" s="81"/>
    </row>
    <row r="255" spans="1:8">
      <c r="A255" s="76"/>
      <c r="B255" s="77"/>
      <c r="C255" s="77">
        <v>1</v>
      </c>
      <c r="D255" s="78" t="s">
        <v>278</v>
      </c>
      <c r="E255" s="77" t="s">
        <v>279</v>
      </c>
      <c r="F255" s="79">
        <v>189.62499999999997</v>
      </c>
      <c r="G255" s="80" t="e">
        <f>VLOOKUP(DGXDCT_1!$D$255,#REF!,4,0)</f>
        <v>#REF!</v>
      </c>
      <c r="H255" s="81"/>
    </row>
    <row r="256" spans="1:8">
      <c r="A256" s="76"/>
      <c r="B256" s="77"/>
      <c r="C256" s="77">
        <v>1</v>
      </c>
      <c r="D256" s="78" t="s">
        <v>69</v>
      </c>
      <c r="E256" s="77" t="s">
        <v>31</v>
      </c>
      <c r="F256" s="79">
        <v>1</v>
      </c>
      <c r="G256" s="80" t="e">
        <f>VLOOKUP(DGXDCT_1!$D$256,#REF!,4,0)</f>
        <v>#REF!</v>
      </c>
      <c r="H256" s="81"/>
    </row>
    <row r="257" spans="1:8">
      <c r="A257" s="26"/>
      <c r="B257" s="27"/>
      <c r="C257" s="27">
        <v>2</v>
      </c>
      <c r="D257" s="28" t="s">
        <v>173</v>
      </c>
      <c r="E257" s="27" t="s">
        <v>5</v>
      </c>
      <c r="F257" s="38">
        <v>2.9</v>
      </c>
      <c r="G257" s="32" t="e">
        <f>VLOOKUP(DGXDCT_1!$D$257,#REF!,4,0)</f>
        <v>#REF!</v>
      </c>
      <c r="H257" s="29"/>
    </row>
    <row r="258" spans="1:8">
      <c r="A258" s="68"/>
      <c r="B258" s="69"/>
      <c r="C258" s="69">
        <v>3</v>
      </c>
      <c r="D258" s="70" t="s">
        <v>289</v>
      </c>
      <c r="E258" s="69" t="s">
        <v>6</v>
      </c>
      <c r="F258" s="71">
        <v>9.5000000000000001E-2</v>
      </c>
      <c r="G258" s="72" t="e">
        <f>VLOOKUP(DGXDCT_1!$D$258,#REF!,4,0)</f>
        <v>#REF!</v>
      </c>
      <c r="H258" s="73"/>
    </row>
    <row r="259" spans="1:8">
      <c r="A259" s="68"/>
      <c r="B259" s="69"/>
      <c r="C259" s="69">
        <v>3</v>
      </c>
      <c r="D259" s="70" t="s">
        <v>284</v>
      </c>
      <c r="E259" s="69" t="s">
        <v>6</v>
      </c>
      <c r="F259" s="71">
        <v>8.8999999999999996E-2</v>
      </c>
      <c r="G259" s="72" t="e">
        <f>VLOOKUP(DGXDCT_1!$D$259,#REF!,4,0)</f>
        <v>#REF!</v>
      </c>
      <c r="H259" s="73"/>
    </row>
    <row r="260" spans="1:8">
      <c r="A260" s="68"/>
      <c r="B260" s="69"/>
      <c r="C260" s="69">
        <v>3</v>
      </c>
      <c r="D260" s="70" t="s">
        <v>311</v>
      </c>
      <c r="E260" s="69" t="s">
        <v>6</v>
      </c>
      <c r="F260" s="71">
        <v>0.11</v>
      </c>
      <c r="G260" s="72" t="e">
        <f>VLOOKUP(DGXDCT_1!$D$260,#REF!,4,0)</f>
        <v>#REF!</v>
      </c>
      <c r="H260" s="73"/>
    </row>
    <row r="261" spans="1:8" ht="15.75" thickBot="1">
      <c r="A261" s="16"/>
      <c r="B261" s="17"/>
      <c r="C261" s="17"/>
      <c r="D261" s="18"/>
      <c r="E261" s="17"/>
      <c r="F261" s="39"/>
      <c r="G261" s="33"/>
      <c r="H261" s="25"/>
    </row>
  </sheetData>
  <phoneticPr fontId="7"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3"/>
  <dimension ref="A1:GA13"/>
  <sheetViews>
    <sheetView zoomScale="115" workbookViewId="0">
      <selection activeCell="B10" sqref="B10"/>
    </sheetView>
  </sheetViews>
  <sheetFormatPr defaultRowHeight="12.75"/>
  <cols>
    <col min="1" max="1" width="7.7109375" style="135" customWidth="1"/>
    <col min="2" max="2" width="35.7109375" style="140" customWidth="1"/>
    <col min="3" max="3" width="7.7109375" style="94" customWidth="1"/>
    <col min="4" max="4" width="12.7109375" style="62" customWidth="1"/>
    <col min="5" max="5" width="15.7109375" style="55" customWidth="1"/>
    <col min="6" max="6" width="20.7109375" style="55" customWidth="1"/>
    <col min="7" max="183" width="9.140625" style="14" hidden="1" customWidth="1"/>
    <col min="184" max="16384" width="9.140625" style="14"/>
  </cols>
  <sheetData>
    <row r="1" spans="1:6" ht="36" customHeight="1">
      <c r="A1" s="134" t="s">
        <v>60</v>
      </c>
      <c r="B1" s="51"/>
      <c r="C1" s="93"/>
      <c r="D1" s="46"/>
      <c r="E1" s="47"/>
      <c r="F1" s="47"/>
    </row>
    <row r="2" spans="1:6" ht="20.100000000000001" customHeight="1">
      <c r="A2" s="153" t="e">
        <f>#REF!</f>
        <v>#REF!</v>
      </c>
      <c r="B2" s="59"/>
      <c r="C2" s="152"/>
      <c r="D2" s="154"/>
      <c r="E2" s="155"/>
      <c r="F2" s="155"/>
    </row>
    <row r="3" spans="1:6" ht="20.100000000000001" customHeight="1">
      <c r="A3" s="153" t="e">
        <f>#REF!</f>
        <v>#REF!</v>
      </c>
      <c r="B3" s="59"/>
      <c r="C3" s="152"/>
      <c r="D3" s="154"/>
      <c r="E3" s="155"/>
      <c r="F3" s="155"/>
    </row>
    <row r="4" spans="1:6" ht="18" customHeight="1" thickBot="1">
      <c r="F4" s="138" t="s">
        <v>76</v>
      </c>
    </row>
    <row r="5" spans="1:6" ht="30" customHeight="1" thickBot="1">
      <c r="A5" s="136" t="s">
        <v>25</v>
      </c>
      <c r="B5" s="60" t="s">
        <v>61</v>
      </c>
      <c r="C5" s="99" t="s">
        <v>100</v>
      </c>
      <c r="D5" s="128" t="s">
        <v>38</v>
      </c>
      <c r="E5" s="61" t="s">
        <v>7</v>
      </c>
      <c r="F5" s="24" t="s">
        <v>32</v>
      </c>
    </row>
    <row r="6" spans="1:6">
      <c r="A6" s="207" t="s">
        <v>11</v>
      </c>
      <c r="B6" s="151" t="s">
        <v>101</v>
      </c>
      <c r="C6" s="148"/>
      <c r="D6" s="208"/>
      <c r="E6" s="149"/>
      <c r="F6" s="150"/>
    </row>
    <row r="7" spans="1:6">
      <c r="A7" s="137" t="s">
        <v>102</v>
      </c>
      <c r="B7" s="141" t="s">
        <v>103</v>
      </c>
      <c r="C7" s="127"/>
      <c r="D7" s="63"/>
      <c r="E7" s="52"/>
      <c r="F7" s="92"/>
    </row>
    <row r="8" spans="1:6">
      <c r="A8" s="137" t="e">
        <f>DGCTDT!A9</f>
        <v>#REF!</v>
      </c>
      <c r="B8" s="141" t="s">
        <v>92</v>
      </c>
      <c r="C8" s="127" t="s">
        <v>67</v>
      </c>
      <c r="D8" s="63" t="e">
        <f>DGCTDT!O7</f>
        <v>#REF!</v>
      </c>
      <c r="E8" s="52" t="e">
        <f>DGCTDT!K24</f>
        <v>#REF!</v>
      </c>
      <c r="F8" s="92" t="e">
        <f>ROUND(D8*E8,0)</f>
        <v>#REF!</v>
      </c>
    </row>
    <row r="9" spans="1:6" ht="25.5">
      <c r="A9" s="137" t="e">
        <f>DGCTDT!A28</f>
        <v>#REF!</v>
      </c>
      <c r="B9" s="141" t="s">
        <v>94</v>
      </c>
      <c r="C9" s="127" t="s">
        <v>70</v>
      </c>
      <c r="D9" s="63" t="e">
        <f>DGCTDT!O26</f>
        <v>#REF!</v>
      </c>
      <c r="E9" s="52" t="e">
        <f>DGCTDT!K47</f>
        <v>#REF!</v>
      </c>
      <c r="F9" s="92" t="e">
        <f>ROUND(D9*E9,0)</f>
        <v>#REF!</v>
      </c>
    </row>
    <row r="10" spans="1:6">
      <c r="A10" s="137" t="s">
        <v>102</v>
      </c>
      <c r="B10" s="141" t="s">
        <v>103</v>
      </c>
      <c r="C10" s="127"/>
      <c r="D10" s="63"/>
      <c r="E10" s="52"/>
      <c r="F10" s="92"/>
    </row>
    <row r="11" spans="1:6" ht="25.5">
      <c r="A11" s="137" t="e">
        <f>DGCTDT!A52</f>
        <v>#REF!</v>
      </c>
      <c r="B11" s="141" t="s">
        <v>105</v>
      </c>
      <c r="C11" s="127" t="s">
        <v>106</v>
      </c>
      <c r="D11" s="63" t="e">
        <f>DGCTDT!O50</f>
        <v>#REF!</v>
      </c>
      <c r="E11" s="52" t="e">
        <f>DGCTDT!K69</f>
        <v>#REF!</v>
      </c>
      <c r="F11" s="92" t="e">
        <f>ROUND(D11*E11,0)</f>
        <v>#REF!</v>
      </c>
    </row>
    <row r="12" spans="1:6">
      <c r="A12" s="137" t="e">
        <f>DGCTDT!A73</f>
        <v>#REF!</v>
      </c>
      <c r="B12" s="141" t="s">
        <v>92</v>
      </c>
      <c r="C12" s="127" t="s">
        <v>67</v>
      </c>
      <c r="D12" s="63" t="e">
        <f>DGCTDT!O71</f>
        <v>#REF!</v>
      </c>
      <c r="E12" s="52" t="e">
        <f>DGCTDT!K88</f>
        <v>#REF!</v>
      </c>
      <c r="F12" s="92" t="e">
        <f>ROUND(D12*E12,0)</f>
        <v>#REF!</v>
      </c>
    </row>
    <row r="13" spans="1:6" ht="13.5" thickBot="1">
      <c r="A13" s="202"/>
      <c r="B13" s="203" t="s">
        <v>62</v>
      </c>
      <c r="C13" s="139"/>
      <c r="D13" s="204"/>
      <c r="E13" s="205"/>
      <c r="F13" s="206" t="e">
        <f>SUM(F6:F12)</f>
        <v>#REF!</v>
      </c>
    </row>
  </sheetData>
  <phoneticPr fontId="7" type="noConversion"/>
  <printOptions horizontalCentered="1"/>
  <pageMargins left="0.5" right="0.3" top="0.5" bottom="0.4" header="0" footer="0.1"/>
  <pageSetup paperSize="9" scale="95" orientation="portrait" blackAndWhite="1" r:id="rId1"/>
  <headerFooter alignWithMargins="0">
    <oddFooter>&amp;C&amp;10Trang &amp;P / &amp;N</oddFooter>
  </headerFooter>
</worksheet>
</file>

<file path=xl/worksheets/sheet4.xml><?xml version="1.0" encoding="utf-8"?>
<worksheet xmlns="http://schemas.openxmlformats.org/spreadsheetml/2006/main" xmlns:r="http://schemas.openxmlformats.org/officeDocument/2006/relationships">
  <sheetPr codeName="Sheet4"/>
  <dimension ref="A1:Q89"/>
  <sheetViews>
    <sheetView workbookViewId="0">
      <selection activeCell="B13" sqref="B13"/>
    </sheetView>
  </sheetViews>
  <sheetFormatPr defaultRowHeight="12.75"/>
  <cols>
    <col min="1" max="1" width="6.7109375" style="131" customWidth="1"/>
    <col min="2" max="2" width="32.7109375" style="40" customWidth="1"/>
    <col min="3" max="3" width="6.7109375" style="95" customWidth="1"/>
    <col min="4" max="4" width="11.7109375" style="15" customWidth="1"/>
    <col min="5" max="5" width="12.7109375" style="40" customWidth="1"/>
    <col min="6" max="6" width="15.7109375" style="40" customWidth="1"/>
    <col min="7" max="7" width="1.7109375" style="100" customWidth="1"/>
    <col min="8" max="8" width="7.7109375" style="106" customWidth="1"/>
    <col min="9" max="9" width="1.7109375" style="100" customWidth="1"/>
    <col min="10" max="10" width="7.7109375" style="15" customWidth="1"/>
    <col min="11" max="11" width="15.7109375" style="40" customWidth="1"/>
    <col min="12" max="12" width="7.5703125" style="40" hidden="1" customWidth="1"/>
    <col min="13" max="13" width="37.5703125" style="40" hidden="1" customWidth="1"/>
    <col min="14" max="14" width="6.85546875" style="55" hidden="1" customWidth="1"/>
    <col min="15" max="15" width="6.140625" style="55" hidden="1" customWidth="1"/>
    <col min="16" max="16" width="8" style="55" hidden="1" customWidth="1"/>
    <col min="17" max="17" width="9.140625" style="40" hidden="1" customWidth="1"/>
    <col min="18" max="16384" width="9.140625" style="40"/>
  </cols>
  <sheetData>
    <row r="1" spans="1:16" ht="30" customHeight="1">
      <c r="A1" s="130" t="s">
        <v>47</v>
      </c>
      <c r="B1" s="56"/>
      <c r="C1" s="101"/>
      <c r="D1" s="57"/>
      <c r="E1" s="56"/>
      <c r="F1" s="56"/>
      <c r="G1" s="101"/>
      <c r="H1" s="105"/>
      <c r="I1" s="101"/>
      <c r="J1" s="57"/>
      <c r="K1" s="56"/>
    </row>
    <row r="2" spans="1:16" ht="20.100000000000001" customHeight="1">
      <c r="A2" s="156" t="e">
        <f>#REF!</f>
        <v>#REF!</v>
      </c>
      <c r="B2" s="157"/>
      <c r="C2" s="158"/>
      <c r="D2" s="159"/>
      <c r="E2" s="157"/>
      <c r="F2" s="157"/>
      <c r="G2" s="158"/>
      <c r="H2" s="160"/>
      <c r="I2" s="161"/>
      <c r="J2" s="53"/>
      <c r="K2" s="162"/>
    </row>
    <row r="3" spans="1:16" ht="20.100000000000001" customHeight="1">
      <c r="A3" s="156" t="e">
        <f>#REF!</f>
        <v>#REF!</v>
      </c>
      <c r="B3" s="162"/>
      <c r="C3" s="161"/>
      <c r="D3" s="53"/>
      <c r="E3" s="162"/>
      <c r="F3" s="162"/>
      <c r="G3" s="161"/>
      <c r="H3" s="163"/>
      <c r="I3" s="161"/>
      <c r="J3" s="53"/>
      <c r="K3" s="162"/>
    </row>
    <row r="4" spans="1:16" ht="18" customHeight="1"/>
    <row r="5" spans="1:16">
      <c r="A5" s="164" t="s">
        <v>108</v>
      </c>
      <c r="B5" s="144"/>
      <c r="C5" s="142"/>
      <c r="D5" s="143"/>
      <c r="E5" s="144"/>
      <c r="F5" s="144"/>
      <c r="G5" s="165"/>
      <c r="H5" s="166"/>
      <c r="I5" s="165"/>
      <c r="J5" s="143"/>
      <c r="K5" s="144"/>
      <c r="L5" s="40" t="s">
        <v>11</v>
      </c>
      <c r="M5" s="40" t="s">
        <v>101</v>
      </c>
      <c r="O5" s="55" t="e">
        <f>DGXDCT_1!#REF!</f>
        <v>#REF!</v>
      </c>
      <c r="P5" s="55" t="s">
        <v>109</v>
      </c>
    </row>
    <row r="6" spans="1:16">
      <c r="A6" s="164" t="s">
        <v>110</v>
      </c>
      <c r="B6" s="144"/>
      <c r="C6" s="142"/>
      <c r="D6" s="143"/>
      <c r="E6" s="144"/>
      <c r="F6" s="144"/>
      <c r="G6" s="165"/>
      <c r="H6" s="166"/>
      <c r="I6" s="165"/>
      <c r="J6" s="143"/>
      <c r="K6" s="144"/>
      <c r="L6" s="40" t="s">
        <v>102</v>
      </c>
      <c r="M6" s="40" t="s">
        <v>103</v>
      </c>
      <c r="O6" s="55" t="e">
        <f>DGXDCT_1!#REF!</f>
        <v>#REF!</v>
      </c>
      <c r="P6" s="55" t="s">
        <v>109</v>
      </c>
    </row>
    <row r="7" spans="1:16" ht="13.5" thickBot="1">
      <c r="A7" s="164" t="s">
        <v>98</v>
      </c>
      <c r="B7" s="144"/>
      <c r="C7" s="142"/>
      <c r="D7" s="143"/>
      <c r="E7" s="144"/>
      <c r="F7" s="144"/>
      <c r="G7" s="165"/>
      <c r="H7" s="166"/>
      <c r="I7" s="165"/>
      <c r="J7" s="143"/>
      <c r="K7" s="144" t="s">
        <v>77</v>
      </c>
      <c r="L7" s="40" t="s">
        <v>91</v>
      </c>
      <c r="M7" s="40" t="s">
        <v>92</v>
      </c>
      <c r="N7" s="55" t="s">
        <v>67</v>
      </c>
      <c r="O7" s="55" t="e">
        <f>DGXDCT_1!#REF!</f>
        <v>#REF!</v>
      </c>
      <c r="P7" s="55" t="s">
        <v>78</v>
      </c>
    </row>
    <row r="8" spans="1:16" ht="13.5" thickBot="1">
      <c r="A8" s="167" t="s">
        <v>25</v>
      </c>
      <c r="B8" s="168" t="s">
        <v>45</v>
      </c>
      <c r="C8" s="169" t="s">
        <v>29</v>
      </c>
      <c r="D8" s="170" t="s">
        <v>41</v>
      </c>
      <c r="E8" s="168" t="s">
        <v>7</v>
      </c>
      <c r="F8" s="168" t="s">
        <v>46</v>
      </c>
      <c r="G8" s="171" t="s">
        <v>39</v>
      </c>
      <c r="H8" s="172"/>
      <c r="I8" s="171"/>
      <c r="J8" s="173"/>
      <c r="K8" s="174" t="s">
        <v>32</v>
      </c>
      <c r="P8" s="55" t="s">
        <v>79</v>
      </c>
    </row>
    <row r="9" spans="1:16">
      <c r="A9" s="129" t="e">
        <f>DGXDCT_1!#REF!</f>
        <v>#REF!</v>
      </c>
      <c r="B9" s="66" t="s">
        <v>64</v>
      </c>
      <c r="C9" s="102"/>
      <c r="D9" s="75"/>
      <c r="E9" s="66"/>
      <c r="F9" s="66"/>
      <c r="G9" s="109"/>
      <c r="H9" s="115"/>
      <c r="I9" s="121"/>
      <c r="J9" s="88"/>
      <c r="K9" s="41"/>
      <c r="P9" s="55">
        <v>1</v>
      </c>
    </row>
    <row r="10" spans="1:16">
      <c r="A10" s="132"/>
      <c r="B10" s="48" t="s">
        <v>95</v>
      </c>
      <c r="C10" s="96" t="s">
        <v>88</v>
      </c>
      <c r="D10" s="74">
        <v>110</v>
      </c>
      <c r="E10" s="48" t="e">
        <f>VLOOKUP(DGCTDT!$B$10,#REF!,4,0)</f>
        <v>#REF!</v>
      </c>
      <c r="F10" s="48" t="e">
        <f>ROUND(D10*E10,0)</f>
        <v>#REF!</v>
      </c>
      <c r="G10" s="110"/>
      <c r="H10" s="116"/>
      <c r="I10" s="122"/>
      <c r="J10" s="89"/>
      <c r="K10" s="42"/>
      <c r="P10" s="55">
        <v>1</v>
      </c>
    </row>
    <row r="11" spans="1:16">
      <c r="A11" s="132"/>
      <c r="B11" s="48" t="s">
        <v>69</v>
      </c>
      <c r="C11" s="96" t="s">
        <v>31</v>
      </c>
      <c r="D11" s="74">
        <v>0.2</v>
      </c>
      <c r="E11" s="48" t="e">
        <f>SUM(F10:F10)</f>
        <v>#REF!</v>
      </c>
      <c r="F11" s="48" t="e">
        <f>ROUND(D11*E11/100,0)</f>
        <v>#REF!</v>
      </c>
      <c r="G11" s="110"/>
      <c r="H11" s="116"/>
      <c r="I11" s="122"/>
      <c r="J11" s="89"/>
      <c r="K11" s="42"/>
      <c r="P11" s="55">
        <v>1</v>
      </c>
    </row>
    <row r="12" spans="1:16">
      <c r="A12" s="175"/>
      <c r="B12" s="146" t="s">
        <v>50</v>
      </c>
      <c r="C12" s="145" t="s">
        <v>33</v>
      </c>
      <c r="D12" s="178"/>
      <c r="E12" s="146"/>
      <c r="F12" s="146" t="e">
        <f>SUM(F10:F11)</f>
        <v>#REF!</v>
      </c>
      <c r="G12" s="179"/>
      <c r="H12" s="180"/>
      <c r="I12" s="181"/>
      <c r="J12" s="182"/>
      <c r="K12" s="147" t="e">
        <f>F12</f>
        <v>#REF!</v>
      </c>
      <c r="P12" s="55" t="s">
        <v>1</v>
      </c>
    </row>
    <row r="13" spans="1:16">
      <c r="A13" s="132"/>
      <c r="B13" s="49" t="s">
        <v>65</v>
      </c>
      <c r="C13" s="97"/>
      <c r="D13" s="43"/>
      <c r="E13" s="49"/>
      <c r="F13" s="49"/>
      <c r="G13" s="111"/>
      <c r="H13" s="117"/>
      <c r="I13" s="123"/>
      <c r="J13" s="90"/>
      <c r="K13" s="44"/>
      <c r="P13" s="55">
        <v>2</v>
      </c>
    </row>
    <row r="14" spans="1:16">
      <c r="A14" s="132"/>
      <c r="B14" s="49" t="s">
        <v>68</v>
      </c>
      <c r="C14" s="97" t="s">
        <v>5</v>
      </c>
      <c r="D14" s="43">
        <v>1.18</v>
      </c>
      <c r="E14" s="49" t="e">
        <f>VLOOKUP(DGCTDT!$B$14,#REF!,4,0)</f>
        <v>#REF!</v>
      </c>
      <c r="F14" s="49" t="e">
        <f>ROUND(D14*E14,0)</f>
        <v>#REF!</v>
      </c>
      <c r="G14" s="111"/>
      <c r="H14" s="117"/>
      <c r="I14" s="123"/>
      <c r="J14" s="90"/>
      <c r="K14" s="44"/>
      <c r="P14" s="55">
        <v>2</v>
      </c>
    </row>
    <row r="15" spans="1:16">
      <c r="A15" s="175"/>
      <c r="B15" s="146" t="s">
        <v>52</v>
      </c>
      <c r="C15" s="145" t="s">
        <v>33</v>
      </c>
      <c r="D15" s="178"/>
      <c r="E15" s="146"/>
      <c r="F15" s="146" t="e">
        <f>SUM(F14:F14)</f>
        <v>#REF!</v>
      </c>
      <c r="G15" s="179" t="s">
        <v>11</v>
      </c>
      <c r="H15" s="180" t="e">
        <f>DULIEUDAUVAO!B10</f>
        <v>#REF!</v>
      </c>
      <c r="I15" s="181" t="s">
        <v>11</v>
      </c>
      <c r="J15" s="182" t="e">
        <f>DULIEUDAUVAO!B9</f>
        <v>#REF!</v>
      </c>
      <c r="K15" s="147" t="e">
        <f>ROUND(F15*H15*J15,0)</f>
        <v>#REF!</v>
      </c>
      <c r="P15" s="55" t="s">
        <v>2</v>
      </c>
    </row>
    <row r="16" spans="1:16">
      <c r="A16" s="132"/>
      <c r="B16" s="58" t="s">
        <v>49</v>
      </c>
      <c r="C16" s="103" t="s">
        <v>33</v>
      </c>
      <c r="D16" s="107" t="s">
        <v>43</v>
      </c>
      <c r="E16" s="83"/>
      <c r="F16" s="83"/>
      <c r="G16" s="112" t="s">
        <v>11</v>
      </c>
      <c r="H16" s="118" t="e">
        <f>DULIEUDAUVAO!B13</f>
        <v>#REF!</v>
      </c>
      <c r="I16" s="124" t="s">
        <v>31</v>
      </c>
      <c r="J16" s="82"/>
      <c r="K16" s="65" t="e">
        <f>ROUND((K12+K15)*H16/100,0)</f>
        <v>#REF!</v>
      </c>
      <c r="P16" s="55" t="s">
        <v>9</v>
      </c>
    </row>
    <row r="17" spans="1:16">
      <c r="A17" s="175"/>
      <c r="B17" s="146" t="s">
        <v>48</v>
      </c>
      <c r="C17" s="145" t="s">
        <v>33</v>
      </c>
      <c r="D17" s="183" t="s">
        <v>80</v>
      </c>
      <c r="E17" s="184"/>
      <c r="F17" s="184"/>
      <c r="G17" s="179"/>
      <c r="H17" s="180"/>
      <c r="I17" s="181"/>
      <c r="J17" s="182"/>
      <c r="K17" s="147" t="e">
        <f>K12+K15+K16</f>
        <v>#REF!</v>
      </c>
      <c r="P17" s="55" t="s">
        <v>10</v>
      </c>
    </row>
    <row r="18" spans="1:16">
      <c r="A18" s="132"/>
      <c r="B18" s="58" t="s">
        <v>53</v>
      </c>
      <c r="C18" s="103" t="s">
        <v>33</v>
      </c>
      <c r="D18" s="107" t="s">
        <v>10</v>
      </c>
      <c r="E18" s="83"/>
      <c r="F18" s="83"/>
      <c r="G18" s="112" t="s">
        <v>11</v>
      </c>
      <c r="H18" s="118" t="e">
        <f>DULIEUDAUVAO!B14</f>
        <v>#REF!</v>
      </c>
      <c r="I18" s="124" t="s">
        <v>31</v>
      </c>
      <c r="J18" s="82"/>
      <c r="K18" s="65" t="e">
        <f>ROUND(K17*H18/100,0)</f>
        <v>#REF!</v>
      </c>
      <c r="P18" s="55" t="s">
        <v>12</v>
      </c>
    </row>
    <row r="19" spans="1:16">
      <c r="A19" s="132"/>
      <c r="B19" s="58" t="s">
        <v>54</v>
      </c>
      <c r="C19" s="103" t="s">
        <v>33</v>
      </c>
      <c r="D19" s="107" t="s">
        <v>14</v>
      </c>
      <c r="E19" s="83"/>
      <c r="F19" s="83"/>
      <c r="G19" s="112" t="s">
        <v>11</v>
      </c>
      <c r="H19" s="118" t="e">
        <f>DULIEUDAUVAO!B15</f>
        <v>#REF!</v>
      </c>
      <c r="I19" s="124" t="s">
        <v>31</v>
      </c>
      <c r="J19" s="82"/>
      <c r="K19" s="65" t="e">
        <f>ROUND((K17+K18)*H19/100,0)</f>
        <v>#REF!</v>
      </c>
      <c r="P19" s="55" t="s">
        <v>13</v>
      </c>
    </row>
    <row r="20" spans="1:16">
      <c r="A20" s="175"/>
      <c r="B20" s="146" t="s">
        <v>55</v>
      </c>
      <c r="C20" s="145" t="s">
        <v>33</v>
      </c>
      <c r="D20" s="183" t="s">
        <v>81</v>
      </c>
      <c r="E20" s="184"/>
      <c r="F20" s="184"/>
      <c r="G20" s="179"/>
      <c r="H20" s="180"/>
      <c r="I20" s="181"/>
      <c r="J20" s="182"/>
      <c r="K20" s="147" t="e">
        <f>K17+K18+K19</f>
        <v>#REF!</v>
      </c>
      <c r="P20" s="55" t="s">
        <v>15</v>
      </c>
    </row>
    <row r="21" spans="1:16">
      <c r="A21" s="132"/>
      <c r="B21" s="58" t="s">
        <v>57</v>
      </c>
      <c r="C21" s="103" t="s">
        <v>33</v>
      </c>
      <c r="D21" s="107" t="s">
        <v>15</v>
      </c>
      <c r="E21" s="83"/>
      <c r="F21" s="83"/>
      <c r="G21" s="112" t="s">
        <v>11</v>
      </c>
      <c r="H21" s="118" t="e">
        <f>DULIEUDAUVAO!B17</f>
        <v>#REF!</v>
      </c>
      <c r="I21" s="124" t="s">
        <v>31</v>
      </c>
      <c r="J21" s="82"/>
      <c r="K21" s="65" t="e">
        <f>ROUND(K20*H21/100,0)</f>
        <v>#REF!</v>
      </c>
      <c r="P21" s="55" t="s">
        <v>82</v>
      </c>
    </row>
    <row r="22" spans="1:16">
      <c r="A22" s="175"/>
      <c r="B22" s="146" t="s">
        <v>59</v>
      </c>
      <c r="C22" s="145" t="s">
        <v>33</v>
      </c>
      <c r="D22" s="183" t="s">
        <v>83</v>
      </c>
      <c r="E22" s="184"/>
      <c r="F22" s="184"/>
      <c r="G22" s="179"/>
      <c r="H22" s="180"/>
      <c r="I22" s="181"/>
      <c r="J22" s="182"/>
      <c r="K22" s="147" t="e">
        <f>K20+K21</f>
        <v>#REF!</v>
      </c>
      <c r="P22" s="55" t="s">
        <v>84</v>
      </c>
    </row>
    <row r="23" spans="1:16">
      <c r="A23" s="132"/>
      <c r="B23" s="58" t="s">
        <v>56</v>
      </c>
      <c r="C23" s="103" t="s">
        <v>33</v>
      </c>
      <c r="D23" s="107" t="s">
        <v>84</v>
      </c>
      <c r="E23" s="83"/>
      <c r="F23" s="83"/>
      <c r="G23" s="112" t="s">
        <v>11</v>
      </c>
      <c r="H23" s="118" t="e">
        <f>DULIEUDAUVAO!B16</f>
        <v>#REF!</v>
      </c>
      <c r="I23" s="124" t="s">
        <v>31</v>
      </c>
      <c r="J23" s="82"/>
      <c r="K23" s="65" t="e">
        <f>ROUND(K22*H23/100,0)</f>
        <v>#REF!</v>
      </c>
      <c r="P23" s="55" t="s">
        <v>16</v>
      </c>
    </row>
    <row r="24" spans="1:16" ht="13.5" thickBot="1">
      <c r="A24" s="177"/>
      <c r="B24" s="185" t="s">
        <v>58</v>
      </c>
      <c r="C24" s="186" t="s">
        <v>33</v>
      </c>
      <c r="D24" s="187" t="s">
        <v>85</v>
      </c>
      <c r="E24" s="188"/>
      <c r="F24" s="188"/>
      <c r="G24" s="189"/>
      <c r="H24" s="190"/>
      <c r="I24" s="191"/>
      <c r="J24" s="192"/>
      <c r="K24" s="193" t="e">
        <f>K22+K23</f>
        <v>#REF!</v>
      </c>
      <c r="P24" s="55" t="s">
        <v>86</v>
      </c>
    </row>
    <row r="25" spans="1:16">
      <c r="P25" s="55" t="s">
        <v>36</v>
      </c>
    </row>
    <row r="26" spans="1:16" ht="13.5" thickBot="1">
      <c r="A26" s="164" t="s">
        <v>99</v>
      </c>
      <c r="B26" s="144"/>
      <c r="C26" s="142"/>
      <c r="D26" s="143"/>
      <c r="E26" s="144"/>
      <c r="F26" s="144"/>
      <c r="G26" s="165"/>
      <c r="H26" s="166"/>
      <c r="I26" s="165"/>
      <c r="J26" s="143"/>
      <c r="K26" s="144" t="s">
        <v>87</v>
      </c>
      <c r="L26" s="40" t="s">
        <v>93</v>
      </c>
      <c r="M26" s="40" t="s">
        <v>94</v>
      </c>
      <c r="N26" s="55" t="s">
        <v>70</v>
      </c>
      <c r="O26" s="55" t="e">
        <f>DGXDCT_1!#REF!</f>
        <v>#REF!</v>
      </c>
      <c r="P26" s="55" t="s">
        <v>78</v>
      </c>
    </row>
    <row r="27" spans="1:16" ht="13.5" thickBot="1">
      <c r="A27" s="167" t="s">
        <v>25</v>
      </c>
      <c r="B27" s="168" t="s">
        <v>45</v>
      </c>
      <c r="C27" s="169" t="s">
        <v>29</v>
      </c>
      <c r="D27" s="170" t="s">
        <v>41</v>
      </c>
      <c r="E27" s="168" t="s">
        <v>7</v>
      </c>
      <c r="F27" s="168" t="s">
        <v>46</v>
      </c>
      <c r="G27" s="171" t="s">
        <v>39</v>
      </c>
      <c r="H27" s="172"/>
      <c r="I27" s="171"/>
      <c r="J27" s="173"/>
      <c r="K27" s="174" t="s">
        <v>32</v>
      </c>
      <c r="P27" s="55" t="s">
        <v>79</v>
      </c>
    </row>
    <row r="28" spans="1:16">
      <c r="A28" s="129" t="e">
        <f>DGXDCT_1!#REF!</f>
        <v>#REF!</v>
      </c>
      <c r="B28" s="66" t="s">
        <v>64</v>
      </c>
      <c r="C28" s="102"/>
      <c r="D28" s="75"/>
      <c r="E28" s="66"/>
      <c r="F28" s="66"/>
      <c r="G28" s="109"/>
      <c r="H28" s="115"/>
      <c r="I28" s="121"/>
      <c r="J28" s="88"/>
      <c r="K28" s="41"/>
      <c r="P28" s="55">
        <v>1</v>
      </c>
    </row>
    <row r="29" spans="1:16">
      <c r="A29" s="132"/>
      <c r="B29" s="48" t="s">
        <v>96</v>
      </c>
      <c r="C29" s="96" t="s">
        <v>30</v>
      </c>
      <c r="D29" s="74">
        <v>122</v>
      </c>
      <c r="E29" s="48" t="e">
        <f>VLOOKUP(DGCTDT!$B$29,#REF!,4,0)</f>
        <v>#REF!</v>
      </c>
      <c r="F29" s="48" t="e">
        <f>ROUND(D29*E29,0)</f>
        <v>#REF!</v>
      </c>
      <c r="G29" s="110"/>
      <c r="H29" s="116"/>
      <c r="I29" s="122"/>
      <c r="J29" s="89"/>
      <c r="K29" s="42"/>
      <c r="P29" s="55">
        <v>1</v>
      </c>
    </row>
    <row r="30" spans="1:16">
      <c r="A30" s="175"/>
      <c r="B30" s="146" t="s">
        <v>50</v>
      </c>
      <c r="C30" s="145" t="s">
        <v>33</v>
      </c>
      <c r="D30" s="178"/>
      <c r="E30" s="146"/>
      <c r="F30" s="146" t="e">
        <f>SUM(F29:F29)</f>
        <v>#REF!</v>
      </c>
      <c r="G30" s="179"/>
      <c r="H30" s="180"/>
      <c r="I30" s="181"/>
      <c r="J30" s="182"/>
      <c r="K30" s="147" t="e">
        <f>F30</f>
        <v>#REF!</v>
      </c>
      <c r="P30" s="55" t="s">
        <v>1</v>
      </c>
    </row>
    <row r="31" spans="1:16">
      <c r="A31" s="132"/>
      <c r="B31" s="49" t="s">
        <v>65</v>
      </c>
      <c r="C31" s="97"/>
      <c r="D31" s="43"/>
      <c r="E31" s="49"/>
      <c r="F31" s="49"/>
      <c r="G31" s="111"/>
      <c r="H31" s="117"/>
      <c r="I31" s="123"/>
      <c r="J31" s="90"/>
      <c r="K31" s="44"/>
      <c r="P31" s="55">
        <v>2</v>
      </c>
    </row>
    <row r="32" spans="1:16">
      <c r="A32" s="132"/>
      <c r="B32" s="49" t="s">
        <v>73</v>
      </c>
      <c r="C32" s="97" t="s">
        <v>5</v>
      </c>
      <c r="D32" s="43">
        <v>1.5</v>
      </c>
      <c r="E32" s="49" t="e">
        <f>VLOOKUP(DGCTDT!$B$32,#REF!,4,0)</f>
        <v>#REF!</v>
      </c>
      <c r="F32" s="49" t="e">
        <f>ROUND(D32*E32,0)</f>
        <v>#REF!</v>
      </c>
      <c r="G32" s="111"/>
      <c r="H32" s="117"/>
      <c r="I32" s="123"/>
      <c r="J32" s="90"/>
      <c r="K32" s="44"/>
      <c r="P32" s="55">
        <v>2</v>
      </c>
    </row>
    <row r="33" spans="1:16">
      <c r="A33" s="175"/>
      <c r="B33" s="146" t="s">
        <v>52</v>
      </c>
      <c r="C33" s="145" t="s">
        <v>33</v>
      </c>
      <c r="D33" s="178"/>
      <c r="E33" s="146"/>
      <c r="F33" s="146" t="e">
        <f>SUM(F32:F32)</f>
        <v>#REF!</v>
      </c>
      <c r="G33" s="179" t="s">
        <v>11</v>
      </c>
      <c r="H33" s="180" t="e">
        <f>DULIEUDAUVAO!B10</f>
        <v>#REF!</v>
      </c>
      <c r="I33" s="181" t="s">
        <v>11</v>
      </c>
      <c r="J33" s="182" t="e">
        <f>DULIEUDAUVAO!B9</f>
        <v>#REF!</v>
      </c>
      <c r="K33" s="147" t="e">
        <f>ROUND(F33*H33*J33,0)</f>
        <v>#REF!</v>
      </c>
      <c r="P33" s="55" t="s">
        <v>2</v>
      </c>
    </row>
    <row r="34" spans="1:16">
      <c r="A34" s="132"/>
      <c r="B34" s="50" t="s">
        <v>66</v>
      </c>
      <c r="C34" s="98"/>
      <c r="D34" s="67"/>
      <c r="E34" s="50"/>
      <c r="F34" s="50"/>
      <c r="G34" s="113"/>
      <c r="H34" s="119"/>
      <c r="I34" s="125"/>
      <c r="J34" s="91"/>
      <c r="K34" s="45"/>
      <c r="P34" s="55">
        <v>3</v>
      </c>
    </row>
    <row r="35" spans="1:16">
      <c r="A35" s="132"/>
      <c r="B35" s="50" t="s">
        <v>97</v>
      </c>
      <c r="C35" s="98" t="s">
        <v>6</v>
      </c>
      <c r="D35" s="67">
        <v>0.34200000000000003</v>
      </c>
      <c r="E35" s="50" t="e">
        <f>VLOOKUP(DGCTDT!$B$35,#REF!,4,0)</f>
        <v>#REF!</v>
      </c>
      <c r="F35" s="50" t="e">
        <f>ROUND(D35*E35,0)</f>
        <v>#REF!</v>
      </c>
      <c r="G35" s="113"/>
      <c r="H35" s="119"/>
      <c r="I35" s="125"/>
      <c r="J35" s="91"/>
      <c r="K35" s="45"/>
      <c r="P35" s="55">
        <v>3</v>
      </c>
    </row>
    <row r="36" spans="1:16">
      <c r="A36" s="132"/>
      <c r="B36" s="50" t="s">
        <v>74</v>
      </c>
      <c r="C36" s="98" t="s">
        <v>6</v>
      </c>
      <c r="D36" s="67">
        <v>0.17100000000000001</v>
      </c>
      <c r="E36" s="50" t="e">
        <f>VLOOKUP(DGCTDT!$B$36,#REF!,4,0)</f>
        <v>#REF!</v>
      </c>
      <c r="F36" s="50" t="e">
        <f>ROUND(D36*E36,0)</f>
        <v>#REF!</v>
      </c>
      <c r="G36" s="113"/>
      <c r="H36" s="119"/>
      <c r="I36" s="125"/>
      <c r="J36" s="91"/>
      <c r="K36" s="45"/>
      <c r="P36" s="55">
        <v>3</v>
      </c>
    </row>
    <row r="37" spans="1:16">
      <c r="A37" s="132"/>
      <c r="B37" s="50" t="s">
        <v>63</v>
      </c>
      <c r="C37" s="98" t="s">
        <v>31</v>
      </c>
      <c r="D37" s="67">
        <v>1.5</v>
      </c>
      <c r="E37" s="50" t="e">
        <f>SUM(F35:F36)</f>
        <v>#REF!</v>
      </c>
      <c r="F37" s="50" t="e">
        <f>ROUND(D37*E37/100,0)</f>
        <v>#REF!</v>
      </c>
      <c r="G37" s="113"/>
      <c r="H37" s="119"/>
      <c r="I37" s="125"/>
      <c r="J37" s="91"/>
      <c r="K37" s="45"/>
      <c r="P37" s="55">
        <v>3</v>
      </c>
    </row>
    <row r="38" spans="1:16">
      <c r="A38" s="176"/>
      <c r="B38" s="194" t="s">
        <v>51</v>
      </c>
      <c r="C38" s="195" t="s">
        <v>33</v>
      </c>
      <c r="D38" s="196"/>
      <c r="E38" s="194"/>
      <c r="F38" s="194" t="e">
        <f>SUM(F35:F37)</f>
        <v>#REF!</v>
      </c>
      <c r="G38" s="197" t="s">
        <v>11</v>
      </c>
      <c r="H38" s="198" t="e">
        <f>DULIEUDAUVAO!B12</f>
        <v>#REF!</v>
      </c>
      <c r="I38" s="199"/>
      <c r="J38" s="200"/>
      <c r="K38" s="201" t="e">
        <f>ROUND(F38*H38,0)</f>
        <v>#REF!</v>
      </c>
      <c r="P38" s="55" t="s">
        <v>3</v>
      </c>
    </row>
    <row r="39" spans="1:16">
      <c r="A39" s="133"/>
      <c r="B39" s="85" t="s">
        <v>49</v>
      </c>
      <c r="C39" s="104" t="s">
        <v>33</v>
      </c>
      <c r="D39" s="108" t="s">
        <v>43</v>
      </c>
      <c r="E39" s="86"/>
      <c r="F39" s="86"/>
      <c r="G39" s="114" t="s">
        <v>11</v>
      </c>
      <c r="H39" s="120" t="e">
        <f>DULIEUDAUVAO!B13</f>
        <v>#REF!</v>
      </c>
      <c r="I39" s="126" t="s">
        <v>31</v>
      </c>
      <c r="J39" s="84"/>
      <c r="K39" s="87" t="e">
        <f>ROUND((K30+K33+K38)*H39/100,0)</f>
        <v>#REF!</v>
      </c>
      <c r="P39" s="55" t="s">
        <v>9</v>
      </c>
    </row>
    <row r="40" spans="1:16">
      <c r="A40" s="175"/>
      <c r="B40" s="146" t="s">
        <v>48</v>
      </c>
      <c r="C40" s="145" t="s">
        <v>33</v>
      </c>
      <c r="D40" s="183" t="s">
        <v>80</v>
      </c>
      <c r="E40" s="184"/>
      <c r="F40" s="184"/>
      <c r="G40" s="179"/>
      <c r="H40" s="180"/>
      <c r="I40" s="181"/>
      <c r="J40" s="182"/>
      <c r="K40" s="147" t="e">
        <f>K30+K33+K38+K39</f>
        <v>#REF!</v>
      </c>
      <c r="P40" s="55" t="s">
        <v>10</v>
      </c>
    </row>
    <row r="41" spans="1:16">
      <c r="A41" s="132"/>
      <c r="B41" s="58" t="s">
        <v>53</v>
      </c>
      <c r="C41" s="103" t="s">
        <v>33</v>
      </c>
      <c r="D41" s="107" t="s">
        <v>10</v>
      </c>
      <c r="E41" s="83"/>
      <c r="F41" s="83"/>
      <c r="G41" s="112" t="s">
        <v>11</v>
      </c>
      <c r="H41" s="118" t="e">
        <f>DULIEUDAUVAO!B14</f>
        <v>#REF!</v>
      </c>
      <c r="I41" s="124" t="s">
        <v>31</v>
      </c>
      <c r="J41" s="82"/>
      <c r="K41" s="65" t="e">
        <f>ROUND(K40*H41/100,0)</f>
        <v>#REF!</v>
      </c>
      <c r="P41" s="55" t="s">
        <v>12</v>
      </c>
    </row>
    <row r="42" spans="1:16">
      <c r="A42" s="132"/>
      <c r="B42" s="58" t="s">
        <v>54</v>
      </c>
      <c r="C42" s="103" t="s">
        <v>33</v>
      </c>
      <c r="D42" s="107" t="s">
        <v>14</v>
      </c>
      <c r="E42" s="83"/>
      <c r="F42" s="83"/>
      <c r="G42" s="112" t="s">
        <v>11</v>
      </c>
      <c r="H42" s="118" t="e">
        <f>DULIEUDAUVAO!B15</f>
        <v>#REF!</v>
      </c>
      <c r="I42" s="124" t="s">
        <v>31</v>
      </c>
      <c r="J42" s="82"/>
      <c r="K42" s="65" t="e">
        <f>ROUND((K40+K41)*H42/100,0)</f>
        <v>#REF!</v>
      </c>
      <c r="P42" s="55" t="s">
        <v>13</v>
      </c>
    </row>
    <row r="43" spans="1:16">
      <c r="A43" s="175"/>
      <c r="B43" s="146" t="s">
        <v>55</v>
      </c>
      <c r="C43" s="145" t="s">
        <v>33</v>
      </c>
      <c r="D43" s="183" t="s">
        <v>81</v>
      </c>
      <c r="E43" s="184"/>
      <c r="F43" s="184"/>
      <c r="G43" s="179"/>
      <c r="H43" s="180"/>
      <c r="I43" s="181"/>
      <c r="J43" s="182"/>
      <c r="K43" s="147" t="e">
        <f>K40+K41+K42</f>
        <v>#REF!</v>
      </c>
      <c r="P43" s="55" t="s">
        <v>15</v>
      </c>
    </row>
    <row r="44" spans="1:16">
      <c r="A44" s="132"/>
      <c r="B44" s="58" t="s">
        <v>57</v>
      </c>
      <c r="C44" s="103" t="s">
        <v>33</v>
      </c>
      <c r="D44" s="107" t="s">
        <v>15</v>
      </c>
      <c r="E44" s="83"/>
      <c r="F44" s="83"/>
      <c r="G44" s="112" t="s">
        <v>11</v>
      </c>
      <c r="H44" s="118" t="e">
        <f>DULIEUDAUVAO!B17</f>
        <v>#REF!</v>
      </c>
      <c r="I44" s="124" t="s">
        <v>31</v>
      </c>
      <c r="J44" s="82"/>
      <c r="K44" s="65" t="e">
        <f>ROUND(K43*H44/100,0)</f>
        <v>#REF!</v>
      </c>
      <c r="P44" s="55" t="s">
        <v>82</v>
      </c>
    </row>
    <row r="45" spans="1:16">
      <c r="A45" s="175"/>
      <c r="B45" s="146" t="s">
        <v>59</v>
      </c>
      <c r="C45" s="145" t="s">
        <v>33</v>
      </c>
      <c r="D45" s="183" t="s">
        <v>83</v>
      </c>
      <c r="E45" s="184"/>
      <c r="F45" s="184"/>
      <c r="G45" s="179"/>
      <c r="H45" s="180"/>
      <c r="I45" s="181"/>
      <c r="J45" s="182"/>
      <c r="K45" s="147" t="e">
        <f>K43+K44</f>
        <v>#REF!</v>
      </c>
      <c r="P45" s="55" t="s">
        <v>84</v>
      </c>
    </row>
    <row r="46" spans="1:16">
      <c r="A46" s="132"/>
      <c r="B46" s="58" t="s">
        <v>56</v>
      </c>
      <c r="C46" s="103" t="s">
        <v>33</v>
      </c>
      <c r="D46" s="107" t="s">
        <v>84</v>
      </c>
      <c r="E46" s="83"/>
      <c r="F46" s="83"/>
      <c r="G46" s="112" t="s">
        <v>11</v>
      </c>
      <c r="H46" s="118" t="e">
        <f>DULIEUDAUVAO!B16</f>
        <v>#REF!</v>
      </c>
      <c r="I46" s="124" t="s">
        <v>31</v>
      </c>
      <c r="J46" s="82"/>
      <c r="K46" s="65" t="e">
        <f>ROUND(K45*H46/100,0)</f>
        <v>#REF!</v>
      </c>
      <c r="P46" s="55" t="s">
        <v>16</v>
      </c>
    </row>
    <row r="47" spans="1:16" ht="13.5" thickBot="1">
      <c r="A47" s="177"/>
      <c r="B47" s="185" t="s">
        <v>58</v>
      </c>
      <c r="C47" s="186" t="s">
        <v>33</v>
      </c>
      <c r="D47" s="187" t="s">
        <v>85</v>
      </c>
      <c r="E47" s="188"/>
      <c r="F47" s="188"/>
      <c r="G47" s="189"/>
      <c r="H47" s="190"/>
      <c r="I47" s="191"/>
      <c r="J47" s="192"/>
      <c r="K47" s="193" t="e">
        <f>K45+K46</f>
        <v>#REF!</v>
      </c>
      <c r="P47" s="55" t="s">
        <v>86</v>
      </c>
    </row>
    <row r="48" spans="1:16">
      <c r="P48" s="55" t="s">
        <v>36</v>
      </c>
    </row>
    <row r="49" spans="1:16">
      <c r="A49" s="164" t="s">
        <v>110</v>
      </c>
      <c r="B49" s="144"/>
      <c r="C49" s="142"/>
      <c r="D49" s="143"/>
      <c r="E49" s="144"/>
      <c r="F49" s="144"/>
      <c r="G49" s="165"/>
      <c r="H49" s="166"/>
      <c r="I49" s="165"/>
      <c r="J49" s="143"/>
      <c r="K49" s="144"/>
      <c r="L49" s="40" t="s">
        <v>102</v>
      </c>
      <c r="M49" s="40" t="s">
        <v>103</v>
      </c>
      <c r="O49" s="55" t="e">
        <f>DGXDCT_1!#REF!</f>
        <v>#REF!</v>
      </c>
      <c r="P49" s="55" t="s">
        <v>109</v>
      </c>
    </row>
    <row r="50" spans="1:16" ht="13.5" thickBot="1">
      <c r="A50" s="164" t="s">
        <v>111</v>
      </c>
      <c r="B50" s="144"/>
      <c r="C50" s="142"/>
      <c r="D50" s="143"/>
      <c r="E50" s="144"/>
      <c r="F50" s="144"/>
      <c r="G50" s="165"/>
      <c r="H50" s="166"/>
      <c r="I50" s="165"/>
      <c r="J50" s="143"/>
      <c r="K50" s="144" t="s">
        <v>112</v>
      </c>
      <c r="L50" s="40" t="s">
        <v>104</v>
      </c>
      <c r="M50" s="40" t="s">
        <v>105</v>
      </c>
      <c r="N50" s="55" t="s">
        <v>106</v>
      </c>
      <c r="O50" s="55" t="e">
        <f>DGXDCT_1!#REF!</f>
        <v>#REF!</v>
      </c>
      <c r="P50" s="55" t="s">
        <v>78</v>
      </c>
    </row>
    <row r="51" spans="1:16" ht="13.5" thickBot="1">
      <c r="A51" s="167" t="s">
        <v>25</v>
      </c>
      <c r="B51" s="168" t="s">
        <v>45</v>
      </c>
      <c r="C51" s="169" t="s">
        <v>29</v>
      </c>
      <c r="D51" s="170" t="s">
        <v>41</v>
      </c>
      <c r="E51" s="168" t="s">
        <v>7</v>
      </c>
      <c r="F51" s="168" t="s">
        <v>46</v>
      </c>
      <c r="G51" s="171" t="s">
        <v>39</v>
      </c>
      <c r="H51" s="172"/>
      <c r="I51" s="171"/>
      <c r="J51" s="173"/>
      <c r="K51" s="174" t="s">
        <v>32</v>
      </c>
      <c r="P51" s="55" t="s">
        <v>79</v>
      </c>
    </row>
    <row r="52" spans="1:16">
      <c r="A52" s="129" t="e">
        <f>DGXDCT_1!#REF!</f>
        <v>#REF!</v>
      </c>
      <c r="B52" s="66" t="s">
        <v>64</v>
      </c>
      <c r="C52" s="102"/>
      <c r="D52" s="75"/>
      <c r="E52" s="66"/>
      <c r="F52" s="66"/>
      <c r="G52" s="109"/>
      <c r="H52" s="115"/>
      <c r="I52" s="121"/>
      <c r="J52" s="88"/>
      <c r="K52" s="41"/>
      <c r="P52" s="55">
        <v>1</v>
      </c>
    </row>
    <row r="53" spans="1:16">
      <c r="A53" s="132"/>
      <c r="B53" s="48" t="s">
        <v>89</v>
      </c>
      <c r="C53" s="96" t="s">
        <v>90</v>
      </c>
      <c r="D53" s="74">
        <v>105</v>
      </c>
      <c r="E53" s="48" t="e">
        <f>VLOOKUP(DGCTDT!$B$53,#REF!,4,0)</f>
        <v>#REF!</v>
      </c>
      <c r="F53" s="48" t="e">
        <f>ROUND(D53*E53,0)</f>
        <v>#REF!</v>
      </c>
      <c r="G53" s="110"/>
      <c r="H53" s="116"/>
      <c r="I53" s="122"/>
      <c r="J53" s="89"/>
      <c r="K53" s="42"/>
      <c r="P53" s="55">
        <v>1</v>
      </c>
    </row>
    <row r="54" spans="1:16">
      <c r="A54" s="132"/>
      <c r="B54" s="48" t="s">
        <v>75</v>
      </c>
      <c r="C54" s="96" t="s">
        <v>71</v>
      </c>
      <c r="D54" s="74">
        <v>1.73</v>
      </c>
      <c r="E54" s="48" t="e">
        <f>VLOOKUP(DGCTDT!$B$54,#REF!,4,0)</f>
        <v>#REF!</v>
      </c>
      <c r="F54" s="48" t="e">
        <f>ROUND(D54*E54,0)</f>
        <v>#REF!</v>
      </c>
      <c r="G54" s="110"/>
      <c r="H54" s="116"/>
      <c r="I54" s="122"/>
      <c r="J54" s="89"/>
      <c r="K54" s="42"/>
      <c r="P54" s="55">
        <v>1</v>
      </c>
    </row>
    <row r="55" spans="1:16">
      <c r="A55" s="132"/>
      <c r="B55" s="48" t="s">
        <v>107</v>
      </c>
      <c r="C55" s="96" t="s">
        <v>30</v>
      </c>
      <c r="D55" s="74">
        <v>1.2E-2</v>
      </c>
      <c r="E55" s="48" t="e">
        <f>VLOOKUP(DGCTDT!$B$55,#REF!,4,0)</f>
        <v>#REF!</v>
      </c>
      <c r="F55" s="48" t="e">
        <f>ROUND(D55*E55,0)</f>
        <v>#REF!</v>
      </c>
      <c r="G55" s="110"/>
      <c r="H55" s="116"/>
      <c r="I55" s="122"/>
      <c r="J55" s="89"/>
      <c r="K55" s="42"/>
      <c r="P55" s="55">
        <v>1</v>
      </c>
    </row>
    <row r="56" spans="1:16">
      <c r="A56" s="132"/>
      <c r="B56" s="48" t="s">
        <v>69</v>
      </c>
      <c r="C56" s="96" t="s">
        <v>31</v>
      </c>
      <c r="D56" s="74">
        <v>3</v>
      </c>
      <c r="E56" s="48" t="e">
        <f>SUM(F53:F55)</f>
        <v>#REF!</v>
      </c>
      <c r="F56" s="48" t="e">
        <f>ROUND(D56*E56/100,0)</f>
        <v>#REF!</v>
      </c>
      <c r="G56" s="110"/>
      <c r="H56" s="116"/>
      <c r="I56" s="122"/>
      <c r="J56" s="89"/>
      <c r="K56" s="42"/>
      <c r="P56" s="55">
        <v>1</v>
      </c>
    </row>
    <row r="57" spans="1:16">
      <c r="A57" s="175"/>
      <c r="B57" s="146" t="s">
        <v>50</v>
      </c>
      <c r="C57" s="145" t="s">
        <v>33</v>
      </c>
      <c r="D57" s="178"/>
      <c r="E57" s="146"/>
      <c r="F57" s="146" t="e">
        <f>SUM(F53:F56)</f>
        <v>#REF!</v>
      </c>
      <c r="G57" s="179"/>
      <c r="H57" s="180"/>
      <c r="I57" s="181"/>
      <c r="J57" s="182"/>
      <c r="K57" s="147" t="e">
        <f>F57</f>
        <v>#REF!</v>
      </c>
      <c r="P57" s="55" t="s">
        <v>1</v>
      </c>
    </row>
    <row r="58" spans="1:16">
      <c r="A58" s="132"/>
      <c r="B58" s="49" t="s">
        <v>65</v>
      </c>
      <c r="C58" s="97"/>
      <c r="D58" s="43"/>
      <c r="E58" s="49"/>
      <c r="F58" s="49"/>
      <c r="G58" s="111"/>
      <c r="H58" s="117"/>
      <c r="I58" s="123"/>
      <c r="J58" s="90"/>
      <c r="K58" s="44"/>
      <c r="P58" s="55">
        <v>2</v>
      </c>
    </row>
    <row r="59" spans="1:16">
      <c r="A59" s="132"/>
      <c r="B59" s="49" t="s">
        <v>68</v>
      </c>
      <c r="C59" s="97" t="s">
        <v>5</v>
      </c>
      <c r="D59" s="43">
        <v>3.27</v>
      </c>
      <c r="E59" s="49" t="e">
        <f>VLOOKUP(DGCTDT!$B$59,#REF!,4,0)</f>
        <v>#REF!</v>
      </c>
      <c r="F59" s="49" t="e">
        <f>ROUND(D59*E59,0)</f>
        <v>#REF!</v>
      </c>
      <c r="G59" s="111"/>
      <c r="H59" s="117"/>
      <c r="I59" s="123"/>
      <c r="J59" s="90"/>
      <c r="K59" s="44"/>
      <c r="P59" s="55">
        <v>2</v>
      </c>
    </row>
    <row r="60" spans="1:16">
      <c r="A60" s="175"/>
      <c r="B60" s="146" t="s">
        <v>52</v>
      </c>
      <c r="C60" s="145" t="s">
        <v>33</v>
      </c>
      <c r="D60" s="178"/>
      <c r="E60" s="146"/>
      <c r="F60" s="146" t="e">
        <f>SUM(F59:F59)</f>
        <v>#REF!</v>
      </c>
      <c r="G60" s="179" t="s">
        <v>11</v>
      </c>
      <c r="H60" s="180" t="e">
        <f>DULIEUDAUVAO!B10</f>
        <v>#REF!</v>
      </c>
      <c r="I60" s="181" t="s">
        <v>11</v>
      </c>
      <c r="J60" s="182" t="e">
        <f>DULIEUDAUVAO!B9</f>
        <v>#REF!</v>
      </c>
      <c r="K60" s="147" t="e">
        <f>ROUND(F60*H60*J60,0)</f>
        <v>#REF!</v>
      </c>
      <c r="P60" s="55" t="s">
        <v>2</v>
      </c>
    </row>
    <row r="61" spans="1:16">
      <c r="A61" s="132"/>
      <c r="B61" s="58" t="s">
        <v>49</v>
      </c>
      <c r="C61" s="103" t="s">
        <v>33</v>
      </c>
      <c r="D61" s="107" t="s">
        <v>43</v>
      </c>
      <c r="E61" s="83"/>
      <c r="F61" s="83"/>
      <c r="G61" s="112" t="s">
        <v>11</v>
      </c>
      <c r="H61" s="118" t="e">
        <f>DULIEUDAUVAO!B13</f>
        <v>#REF!</v>
      </c>
      <c r="I61" s="124" t="s">
        <v>31</v>
      </c>
      <c r="J61" s="82"/>
      <c r="K61" s="65" t="e">
        <f>ROUND((K57+K60)*H61/100,0)</f>
        <v>#REF!</v>
      </c>
      <c r="P61" s="55" t="s">
        <v>9</v>
      </c>
    </row>
    <row r="62" spans="1:16">
      <c r="A62" s="175"/>
      <c r="B62" s="146" t="s">
        <v>48</v>
      </c>
      <c r="C62" s="145" t="s">
        <v>33</v>
      </c>
      <c r="D62" s="183" t="s">
        <v>80</v>
      </c>
      <c r="E62" s="184"/>
      <c r="F62" s="184"/>
      <c r="G62" s="179"/>
      <c r="H62" s="180"/>
      <c r="I62" s="181"/>
      <c r="J62" s="182"/>
      <c r="K62" s="147" t="e">
        <f>K57+K60+K61</f>
        <v>#REF!</v>
      </c>
      <c r="P62" s="55" t="s">
        <v>10</v>
      </c>
    </row>
    <row r="63" spans="1:16">
      <c r="A63" s="132"/>
      <c r="B63" s="58" t="s">
        <v>53</v>
      </c>
      <c r="C63" s="103" t="s">
        <v>33</v>
      </c>
      <c r="D63" s="107" t="s">
        <v>10</v>
      </c>
      <c r="E63" s="83"/>
      <c r="F63" s="83"/>
      <c r="G63" s="112" t="s">
        <v>11</v>
      </c>
      <c r="H63" s="118" t="e">
        <f>DULIEUDAUVAO!B14</f>
        <v>#REF!</v>
      </c>
      <c r="I63" s="124" t="s">
        <v>31</v>
      </c>
      <c r="J63" s="82"/>
      <c r="K63" s="65" t="e">
        <f>ROUND(K62*H63/100,0)</f>
        <v>#REF!</v>
      </c>
      <c r="P63" s="55" t="s">
        <v>12</v>
      </c>
    </row>
    <row r="64" spans="1:16">
      <c r="A64" s="132"/>
      <c r="B64" s="58" t="s">
        <v>54</v>
      </c>
      <c r="C64" s="103" t="s">
        <v>33</v>
      </c>
      <c r="D64" s="107" t="s">
        <v>14</v>
      </c>
      <c r="E64" s="83"/>
      <c r="F64" s="83"/>
      <c r="G64" s="112" t="s">
        <v>11</v>
      </c>
      <c r="H64" s="118" t="e">
        <f>DULIEUDAUVAO!B15</f>
        <v>#REF!</v>
      </c>
      <c r="I64" s="124" t="s">
        <v>31</v>
      </c>
      <c r="J64" s="82"/>
      <c r="K64" s="65" t="e">
        <f>ROUND((K62+K63)*H64/100,0)</f>
        <v>#REF!</v>
      </c>
      <c r="P64" s="55" t="s">
        <v>13</v>
      </c>
    </row>
    <row r="65" spans="1:16">
      <c r="A65" s="175"/>
      <c r="B65" s="146" t="s">
        <v>55</v>
      </c>
      <c r="C65" s="145" t="s">
        <v>33</v>
      </c>
      <c r="D65" s="183" t="s">
        <v>81</v>
      </c>
      <c r="E65" s="184"/>
      <c r="F65" s="184"/>
      <c r="G65" s="179"/>
      <c r="H65" s="180"/>
      <c r="I65" s="181"/>
      <c r="J65" s="182"/>
      <c r="K65" s="147" t="e">
        <f>K62+K63+K64</f>
        <v>#REF!</v>
      </c>
      <c r="P65" s="55" t="s">
        <v>15</v>
      </c>
    </row>
    <row r="66" spans="1:16">
      <c r="A66" s="132"/>
      <c r="B66" s="58" t="s">
        <v>57</v>
      </c>
      <c r="C66" s="103" t="s">
        <v>33</v>
      </c>
      <c r="D66" s="107" t="s">
        <v>15</v>
      </c>
      <c r="E66" s="83"/>
      <c r="F66" s="83"/>
      <c r="G66" s="112" t="s">
        <v>11</v>
      </c>
      <c r="H66" s="118" t="e">
        <f>DULIEUDAUVAO!B17</f>
        <v>#REF!</v>
      </c>
      <c r="I66" s="124" t="s">
        <v>31</v>
      </c>
      <c r="J66" s="82"/>
      <c r="K66" s="65" t="e">
        <f>ROUND(K65*H66/100,0)</f>
        <v>#REF!</v>
      </c>
      <c r="P66" s="55" t="s">
        <v>82</v>
      </c>
    </row>
    <row r="67" spans="1:16">
      <c r="A67" s="175"/>
      <c r="B67" s="146" t="s">
        <v>59</v>
      </c>
      <c r="C67" s="145" t="s">
        <v>33</v>
      </c>
      <c r="D67" s="183" t="s">
        <v>83</v>
      </c>
      <c r="E67" s="184"/>
      <c r="F67" s="184"/>
      <c r="G67" s="179"/>
      <c r="H67" s="180"/>
      <c r="I67" s="181"/>
      <c r="J67" s="182"/>
      <c r="K67" s="147" t="e">
        <f>K65+K66</f>
        <v>#REF!</v>
      </c>
      <c r="P67" s="55" t="s">
        <v>84</v>
      </c>
    </row>
    <row r="68" spans="1:16">
      <c r="A68" s="132"/>
      <c r="B68" s="58" t="s">
        <v>56</v>
      </c>
      <c r="C68" s="103" t="s">
        <v>33</v>
      </c>
      <c r="D68" s="107" t="s">
        <v>84</v>
      </c>
      <c r="E68" s="83"/>
      <c r="F68" s="83"/>
      <c r="G68" s="112" t="s">
        <v>11</v>
      </c>
      <c r="H68" s="118" t="e">
        <f>DULIEUDAUVAO!B16</f>
        <v>#REF!</v>
      </c>
      <c r="I68" s="124" t="s">
        <v>31</v>
      </c>
      <c r="J68" s="82"/>
      <c r="K68" s="65" t="e">
        <f>ROUND(K67*H68/100,0)</f>
        <v>#REF!</v>
      </c>
      <c r="P68" s="55" t="s">
        <v>16</v>
      </c>
    </row>
    <row r="69" spans="1:16" ht="13.5" thickBot="1">
      <c r="A69" s="177"/>
      <c r="B69" s="185" t="s">
        <v>58</v>
      </c>
      <c r="C69" s="186" t="s">
        <v>33</v>
      </c>
      <c r="D69" s="187" t="s">
        <v>85</v>
      </c>
      <c r="E69" s="188"/>
      <c r="F69" s="188"/>
      <c r="G69" s="189"/>
      <c r="H69" s="190"/>
      <c r="I69" s="191"/>
      <c r="J69" s="192"/>
      <c r="K69" s="193" t="e">
        <f>K67+K68</f>
        <v>#REF!</v>
      </c>
      <c r="P69" s="55" t="s">
        <v>86</v>
      </c>
    </row>
    <row r="70" spans="1:16">
      <c r="P70" s="55" t="s">
        <v>36</v>
      </c>
    </row>
    <row r="71" spans="1:16" ht="13.5" thickBot="1">
      <c r="A71" s="164" t="s">
        <v>98</v>
      </c>
      <c r="B71" s="144"/>
      <c r="C71" s="142"/>
      <c r="D71" s="143"/>
      <c r="E71" s="144"/>
      <c r="F71" s="144"/>
      <c r="G71" s="165"/>
      <c r="H71" s="166"/>
      <c r="I71" s="165"/>
      <c r="J71" s="143"/>
      <c r="K71" s="144" t="s">
        <v>77</v>
      </c>
      <c r="L71" s="40" t="s">
        <v>91</v>
      </c>
      <c r="M71" s="40" t="s">
        <v>92</v>
      </c>
      <c r="N71" s="55" t="s">
        <v>67</v>
      </c>
      <c r="O71" s="55" t="e">
        <f>DGXDCT_1!#REF!</f>
        <v>#REF!</v>
      </c>
      <c r="P71" s="55" t="s">
        <v>78</v>
      </c>
    </row>
    <row r="72" spans="1:16" ht="13.5" thickBot="1">
      <c r="A72" s="167" t="s">
        <v>25</v>
      </c>
      <c r="B72" s="168" t="s">
        <v>45</v>
      </c>
      <c r="C72" s="169" t="s">
        <v>29</v>
      </c>
      <c r="D72" s="170" t="s">
        <v>41</v>
      </c>
      <c r="E72" s="168" t="s">
        <v>7</v>
      </c>
      <c r="F72" s="168" t="s">
        <v>46</v>
      </c>
      <c r="G72" s="171" t="s">
        <v>39</v>
      </c>
      <c r="H72" s="172"/>
      <c r="I72" s="171"/>
      <c r="J72" s="173"/>
      <c r="K72" s="174" t="s">
        <v>32</v>
      </c>
      <c r="P72" s="55" t="s">
        <v>79</v>
      </c>
    </row>
    <row r="73" spans="1:16">
      <c r="A73" s="129" t="e">
        <f>DGXDCT_1!#REF!</f>
        <v>#REF!</v>
      </c>
      <c r="B73" s="66" t="s">
        <v>64</v>
      </c>
      <c r="C73" s="102"/>
      <c r="D73" s="75"/>
      <c r="E73" s="66"/>
      <c r="F73" s="66"/>
      <c r="G73" s="109"/>
      <c r="H73" s="115"/>
      <c r="I73" s="121"/>
      <c r="J73" s="88"/>
      <c r="K73" s="41"/>
      <c r="P73" s="55">
        <v>1</v>
      </c>
    </row>
    <row r="74" spans="1:16">
      <c r="A74" s="132"/>
      <c r="B74" s="48" t="s">
        <v>95</v>
      </c>
      <c r="C74" s="96" t="s">
        <v>88</v>
      </c>
      <c r="D74" s="74">
        <v>110</v>
      </c>
      <c r="E74" s="48" t="e">
        <f>VLOOKUP(DGCTDT!$B$74,#REF!,4,0)</f>
        <v>#REF!</v>
      </c>
      <c r="F74" s="48" t="e">
        <f>ROUND(D74*E74,0)</f>
        <v>#REF!</v>
      </c>
      <c r="G74" s="110"/>
      <c r="H74" s="116"/>
      <c r="I74" s="122"/>
      <c r="J74" s="89"/>
      <c r="K74" s="42"/>
      <c r="P74" s="55">
        <v>1</v>
      </c>
    </row>
    <row r="75" spans="1:16">
      <c r="A75" s="132"/>
      <c r="B75" s="48" t="s">
        <v>69</v>
      </c>
      <c r="C75" s="96" t="s">
        <v>31</v>
      </c>
      <c r="D75" s="74">
        <v>0.2</v>
      </c>
      <c r="E75" s="48" t="e">
        <f>SUM(F74:F74)</f>
        <v>#REF!</v>
      </c>
      <c r="F75" s="48" t="e">
        <f>ROUND(D75*E75/100,0)</f>
        <v>#REF!</v>
      </c>
      <c r="G75" s="110"/>
      <c r="H75" s="116"/>
      <c r="I75" s="122"/>
      <c r="J75" s="89"/>
      <c r="K75" s="42"/>
      <c r="P75" s="55">
        <v>1</v>
      </c>
    </row>
    <row r="76" spans="1:16">
      <c r="A76" s="175"/>
      <c r="B76" s="146" t="s">
        <v>50</v>
      </c>
      <c r="C76" s="145" t="s">
        <v>33</v>
      </c>
      <c r="D76" s="178"/>
      <c r="E76" s="146"/>
      <c r="F76" s="146" t="e">
        <f>SUM(F74:F75)</f>
        <v>#REF!</v>
      </c>
      <c r="G76" s="179"/>
      <c r="H76" s="180"/>
      <c r="I76" s="181"/>
      <c r="J76" s="182"/>
      <c r="K76" s="147" t="e">
        <f>F76</f>
        <v>#REF!</v>
      </c>
      <c r="P76" s="55" t="s">
        <v>1</v>
      </c>
    </row>
    <row r="77" spans="1:16">
      <c r="A77" s="132"/>
      <c r="B77" s="49" t="s">
        <v>65</v>
      </c>
      <c r="C77" s="97"/>
      <c r="D77" s="43"/>
      <c r="E77" s="49"/>
      <c r="F77" s="49"/>
      <c r="G77" s="111"/>
      <c r="H77" s="117"/>
      <c r="I77" s="123"/>
      <c r="J77" s="90"/>
      <c r="K77" s="44"/>
      <c r="P77" s="55">
        <v>2</v>
      </c>
    </row>
    <row r="78" spans="1:16">
      <c r="A78" s="132"/>
      <c r="B78" s="49" t="s">
        <v>68</v>
      </c>
      <c r="C78" s="97" t="s">
        <v>5</v>
      </c>
      <c r="D78" s="43">
        <v>1.18</v>
      </c>
      <c r="E78" s="49" t="e">
        <f>VLOOKUP(DGCTDT!$B$78,#REF!,4,0)</f>
        <v>#REF!</v>
      </c>
      <c r="F78" s="49" t="e">
        <f>ROUND(D78*E78,0)</f>
        <v>#REF!</v>
      </c>
      <c r="G78" s="111"/>
      <c r="H78" s="117"/>
      <c r="I78" s="123"/>
      <c r="J78" s="90"/>
      <c r="K78" s="44"/>
      <c r="P78" s="55">
        <v>2</v>
      </c>
    </row>
    <row r="79" spans="1:16">
      <c r="A79" s="175"/>
      <c r="B79" s="146" t="s">
        <v>52</v>
      </c>
      <c r="C79" s="145" t="s">
        <v>33</v>
      </c>
      <c r="D79" s="178"/>
      <c r="E79" s="146"/>
      <c r="F79" s="146" t="e">
        <f>SUM(F78:F78)</f>
        <v>#REF!</v>
      </c>
      <c r="G79" s="179" t="s">
        <v>11</v>
      </c>
      <c r="H79" s="180" t="e">
        <f>DULIEUDAUVAO!B10</f>
        <v>#REF!</v>
      </c>
      <c r="I79" s="181" t="s">
        <v>11</v>
      </c>
      <c r="J79" s="182" t="e">
        <f>DULIEUDAUVAO!B9</f>
        <v>#REF!</v>
      </c>
      <c r="K79" s="147" t="e">
        <f>ROUND(F79*H79*J79,0)</f>
        <v>#REF!</v>
      </c>
      <c r="P79" s="55" t="s">
        <v>2</v>
      </c>
    </row>
    <row r="80" spans="1:16">
      <c r="A80" s="132"/>
      <c r="B80" s="58" t="s">
        <v>49</v>
      </c>
      <c r="C80" s="103" t="s">
        <v>33</v>
      </c>
      <c r="D80" s="107" t="s">
        <v>43</v>
      </c>
      <c r="E80" s="83"/>
      <c r="F80" s="83"/>
      <c r="G80" s="112" t="s">
        <v>11</v>
      </c>
      <c r="H80" s="118" t="e">
        <f>DULIEUDAUVAO!B13</f>
        <v>#REF!</v>
      </c>
      <c r="I80" s="124" t="s">
        <v>31</v>
      </c>
      <c r="J80" s="82"/>
      <c r="K80" s="65" t="e">
        <f>ROUND((K76+K79)*H80/100,0)</f>
        <v>#REF!</v>
      </c>
      <c r="P80" s="55" t="s">
        <v>9</v>
      </c>
    </row>
    <row r="81" spans="1:16">
      <c r="A81" s="175"/>
      <c r="B81" s="146" t="s">
        <v>48</v>
      </c>
      <c r="C81" s="145" t="s">
        <v>33</v>
      </c>
      <c r="D81" s="183" t="s">
        <v>80</v>
      </c>
      <c r="E81" s="184"/>
      <c r="F81" s="184"/>
      <c r="G81" s="179"/>
      <c r="H81" s="180"/>
      <c r="I81" s="181"/>
      <c r="J81" s="182"/>
      <c r="K81" s="147" t="e">
        <f>K76+K79+K80</f>
        <v>#REF!</v>
      </c>
      <c r="P81" s="55" t="s">
        <v>10</v>
      </c>
    </row>
    <row r="82" spans="1:16">
      <c r="A82" s="132"/>
      <c r="B82" s="58" t="s">
        <v>53</v>
      </c>
      <c r="C82" s="103" t="s">
        <v>33</v>
      </c>
      <c r="D82" s="107" t="s">
        <v>10</v>
      </c>
      <c r="E82" s="83"/>
      <c r="F82" s="83"/>
      <c r="G82" s="112" t="s">
        <v>11</v>
      </c>
      <c r="H82" s="118" t="e">
        <f>DULIEUDAUVAO!B14</f>
        <v>#REF!</v>
      </c>
      <c r="I82" s="124" t="s">
        <v>31</v>
      </c>
      <c r="J82" s="82"/>
      <c r="K82" s="65" t="e">
        <f>ROUND(K81*H82/100,0)</f>
        <v>#REF!</v>
      </c>
      <c r="P82" s="55" t="s">
        <v>12</v>
      </c>
    </row>
    <row r="83" spans="1:16">
      <c r="A83" s="132"/>
      <c r="B83" s="58" t="s">
        <v>54</v>
      </c>
      <c r="C83" s="103" t="s">
        <v>33</v>
      </c>
      <c r="D83" s="107" t="s">
        <v>14</v>
      </c>
      <c r="E83" s="83"/>
      <c r="F83" s="83"/>
      <c r="G83" s="112" t="s">
        <v>11</v>
      </c>
      <c r="H83" s="118" t="e">
        <f>DULIEUDAUVAO!B15</f>
        <v>#REF!</v>
      </c>
      <c r="I83" s="124" t="s">
        <v>31</v>
      </c>
      <c r="J83" s="82"/>
      <c r="K83" s="65" t="e">
        <f>ROUND((K81+K82)*H83/100,0)</f>
        <v>#REF!</v>
      </c>
      <c r="P83" s="55" t="s">
        <v>13</v>
      </c>
    </row>
    <row r="84" spans="1:16">
      <c r="A84" s="175"/>
      <c r="B84" s="146" t="s">
        <v>55</v>
      </c>
      <c r="C84" s="145" t="s">
        <v>33</v>
      </c>
      <c r="D84" s="183" t="s">
        <v>81</v>
      </c>
      <c r="E84" s="184"/>
      <c r="F84" s="184"/>
      <c r="G84" s="179"/>
      <c r="H84" s="180"/>
      <c r="I84" s="181"/>
      <c r="J84" s="182"/>
      <c r="K84" s="147" t="e">
        <f>K81+K82+K83</f>
        <v>#REF!</v>
      </c>
      <c r="P84" s="55" t="s">
        <v>15</v>
      </c>
    </row>
    <row r="85" spans="1:16">
      <c r="A85" s="132"/>
      <c r="B85" s="58" t="s">
        <v>57</v>
      </c>
      <c r="C85" s="103" t="s">
        <v>33</v>
      </c>
      <c r="D85" s="107" t="s">
        <v>15</v>
      </c>
      <c r="E85" s="83"/>
      <c r="F85" s="83"/>
      <c r="G85" s="112" t="s">
        <v>11</v>
      </c>
      <c r="H85" s="118" t="e">
        <f>DULIEUDAUVAO!B17</f>
        <v>#REF!</v>
      </c>
      <c r="I85" s="124" t="s">
        <v>31</v>
      </c>
      <c r="J85" s="82"/>
      <c r="K85" s="65" t="e">
        <f>ROUND(K84*H85/100,0)</f>
        <v>#REF!</v>
      </c>
      <c r="P85" s="55" t="s">
        <v>82</v>
      </c>
    </row>
    <row r="86" spans="1:16">
      <c r="A86" s="175"/>
      <c r="B86" s="146" t="s">
        <v>59</v>
      </c>
      <c r="C86" s="145" t="s">
        <v>33</v>
      </c>
      <c r="D86" s="183" t="s">
        <v>83</v>
      </c>
      <c r="E86" s="184"/>
      <c r="F86" s="184"/>
      <c r="G86" s="179"/>
      <c r="H86" s="180"/>
      <c r="I86" s="181"/>
      <c r="J86" s="182"/>
      <c r="K86" s="147" t="e">
        <f>K84+K85</f>
        <v>#REF!</v>
      </c>
      <c r="P86" s="55" t="s">
        <v>84</v>
      </c>
    </row>
    <row r="87" spans="1:16">
      <c r="A87" s="132"/>
      <c r="B87" s="58" t="s">
        <v>56</v>
      </c>
      <c r="C87" s="103" t="s">
        <v>33</v>
      </c>
      <c r="D87" s="107" t="s">
        <v>84</v>
      </c>
      <c r="E87" s="83"/>
      <c r="F87" s="83"/>
      <c r="G87" s="112" t="s">
        <v>11</v>
      </c>
      <c r="H87" s="118" t="e">
        <f>DULIEUDAUVAO!B16</f>
        <v>#REF!</v>
      </c>
      <c r="I87" s="124" t="s">
        <v>31</v>
      </c>
      <c r="J87" s="82"/>
      <c r="K87" s="65" t="e">
        <f>ROUND(K86*H87/100,0)</f>
        <v>#REF!</v>
      </c>
      <c r="P87" s="55" t="s">
        <v>16</v>
      </c>
    </row>
    <row r="88" spans="1:16" ht="13.5" thickBot="1">
      <c r="A88" s="177"/>
      <c r="B88" s="185" t="s">
        <v>58</v>
      </c>
      <c r="C88" s="186" t="s">
        <v>33</v>
      </c>
      <c r="D88" s="187" t="s">
        <v>85</v>
      </c>
      <c r="E88" s="188"/>
      <c r="F88" s="188"/>
      <c r="G88" s="189"/>
      <c r="H88" s="190"/>
      <c r="I88" s="191"/>
      <c r="J88" s="192"/>
      <c r="K88" s="193" t="e">
        <f>K86+K87</f>
        <v>#REF!</v>
      </c>
      <c r="P88" s="55" t="s">
        <v>86</v>
      </c>
    </row>
    <row r="89" spans="1:16">
      <c r="P89" s="55" t="s">
        <v>36</v>
      </c>
    </row>
  </sheetData>
  <phoneticPr fontId="7" type="noConversion"/>
  <printOptions horizontalCentered="1"/>
  <pageMargins left="0.5" right="0.3" top="0.5" bottom="0.4" header="0" footer="0.1"/>
  <pageSetup paperSize="9" scale="80" orientation="portrait" blackAndWhite="1" r:id="rId1"/>
  <headerFooter alignWithMargins="0">
    <oddFooter>&amp;C&amp;10Trang &amp;P / &amp;N</oddFooter>
  </headerFooter>
</worksheet>
</file>

<file path=xl/worksheets/sheet5.xml><?xml version="1.0" encoding="utf-8"?>
<worksheet xmlns="http://schemas.openxmlformats.org/spreadsheetml/2006/main" xmlns:r="http://schemas.openxmlformats.org/officeDocument/2006/relationships">
  <sheetPr codeName="Sheet13"/>
  <dimension ref="A1:R205"/>
  <sheetViews>
    <sheetView showGridLines="0" zoomScale="90" zoomScaleNormal="90" workbookViewId="0">
      <selection activeCell="F7" sqref="F7"/>
    </sheetView>
  </sheetViews>
  <sheetFormatPr defaultRowHeight="15.75"/>
  <cols>
    <col min="1" max="1" width="16.7109375" style="224" customWidth="1"/>
    <col min="2" max="2" width="13.7109375" style="224" customWidth="1"/>
    <col min="3" max="3" width="25.7109375" style="224" customWidth="1"/>
    <col min="4" max="4" width="12.140625" style="224" customWidth="1"/>
    <col min="5" max="16" width="9.85546875" style="224" customWidth="1"/>
    <col min="17" max="16384" width="9.140625" style="224"/>
  </cols>
  <sheetData>
    <row r="1" spans="1:18">
      <c r="A1" s="221" t="s">
        <v>113</v>
      </c>
      <c r="B1" s="222"/>
      <c r="C1" s="222"/>
      <c r="D1" s="223"/>
      <c r="E1" s="222"/>
      <c r="F1" s="222"/>
      <c r="G1" s="222"/>
    </row>
    <row r="2" spans="1:18">
      <c r="A2" s="225" t="s">
        <v>114</v>
      </c>
      <c r="B2" s="226" t="s">
        <v>115</v>
      </c>
    </row>
    <row r="3" spans="1:18">
      <c r="C3" s="726" t="s">
        <v>116</v>
      </c>
      <c r="D3" s="249" t="e">
        <f>(#REF!+#REF!)/10^9</f>
        <v>#REF!</v>
      </c>
      <c r="E3" s="227" t="s">
        <v>117</v>
      </c>
      <c r="F3" s="226"/>
      <c r="G3" s="226"/>
      <c r="H3" s="226"/>
      <c r="I3" s="226"/>
      <c r="J3" s="226"/>
      <c r="K3" s="226"/>
      <c r="L3" s="226"/>
      <c r="M3" s="226"/>
      <c r="N3" s="226"/>
      <c r="O3" s="226"/>
      <c r="P3" s="226"/>
    </row>
    <row r="4" spans="1:18">
      <c r="C4" s="726"/>
      <c r="D4" s="228"/>
      <c r="E4" s="229">
        <v>10</v>
      </c>
      <c r="F4" s="229">
        <v>20</v>
      </c>
      <c r="G4" s="229">
        <v>50</v>
      </c>
      <c r="H4" s="229">
        <v>100</v>
      </c>
      <c r="I4" s="229">
        <v>200</v>
      </c>
      <c r="J4" s="229">
        <v>500</v>
      </c>
      <c r="K4" s="229">
        <v>1000</v>
      </c>
      <c r="L4" s="229">
        <v>2000</v>
      </c>
      <c r="M4" s="229">
        <v>5000</v>
      </c>
      <c r="N4" s="229">
        <v>10000</v>
      </c>
      <c r="O4" s="229">
        <v>20000</v>
      </c>
      <c r="P4" s="229">
        <v>30000</v>
      </c>
      <c r="Q4" s="250" t="e">
        <f>INDEX(E4:P4,MATCH(D3,E4:P4,1))</f>
        <v>#REF!</v>
      </c>
      <c r="R4" s="251" t="e">
        <f>INDEX(E4:P4,MATCH(D3,E4:P4,1)+1)</f>
        <v>#REF!</v>
      </c>
    </row>
    <row r="5" spans="1:18">
      <c r="A5" s="230"/>
      <c r="B5" s="224" t="e">
        <f>#REF!</f>
        <v>#REF!</v>
      </c>
      <c r="D5" s="232" t="e">
        <f>IF($D$3&lt;=$E$4,E5,ROUND(FORECAST($D$3,Q5:R5,$Q$4:$R$4),3))</f>
        <v>#REF!</v>
      </c>
      <c r="E5" s="233">
        <v>3.282</v>
      </c>
      <c r="F5" s="233">
        <v>2.7839999999999998</v>
      </c>
      <c r="G5" s="233">
        <v>2.4860000000000002</v>
      </c>
      <c r="H5" s="233">
        <v>1.921</v>
      </c>
      <c r="I5" s="233">
        <v>1.796</v>
      </c>
      <c r="J5" s="233">
        <v>1.4419999999999999</v>
      </c>
      <c r="K5" s="233">
        <v>1.18</v>
      </c>
      <c r="L5" s="233">
        <v>0.91200000000000003</v>
      </c>
      <c r="M5" s="233">
        <v>0.67700000000000005</v>
      </c>
      <c r="N5" s="233">
        <v>0.48599999999999999</v>
      </c>
      <c r="O5" s="233">
        <v>0.36299999999999999</v>
      </c>
      <c r="P5" s="233">
        <v>0.28999999999999998</v>
      </c>
      <c r="Q5" s="224" t="e">
        <f>INDEX(E5:P5,MATCH($D$3,$E$4:$P$4,1))</f>
        <v>#REF!</v>
      </c>
      <c r="R5" s="224" t="e">
        <f>INDEX(E5:P5,MATCH($D$3,$E$4:$P$4,1)+1)</f>
        <v>#REF!</v>
      </c>
    </row>
    <row r="6" spans="1:18">
      <c r="A6" s="234"/>
      <c r="B6" s="224" t="e">
        <f>#REF!</f>
        <v>#REF!</v>
      </c>
      <c r="D6" s="232" t="e">
        <f>IF($D$3&lt;=$E$4,E6,ROUND(FORECAST($D$3,Q6:R6,$Q$4:$R$4),3))</f>
        <v>#REF!</v>
      </c>
      <c r="E6" s="233">
        <v>3.4529999999999998</v>
      </c>
      <c r="F6" s="233">
        <v>2.93</v>
      </c>
      <c r="G6" s="233">
        <v>2.6160000000000001</v>
      </c>
      <c r="H6" s="233">
        <v>2.0209999999999999</v>
      </c>
      <c r="I6" s="233">
        <v>1.89</v>
      </c>
      <c r="J6" s="233">
        <v>1.518</v>
      </c>
      <c r="K6" s="233">
        <v>1.242</v>
      </c>
      <c r="L6" s="233">
        <v>1.071</v>
      </c>
      <c r="M6" s="233">
        <v>0.71299999999999997</v>
      </c>
      <c r="N6" s="233">
        <v>0.51200000000000001</v>
      </c>
      <c r="O6" s="233">
        <v>0.38200000000000001</v>
      </c>
      <c r="P6" s="233">
        <v>0.30499999999999999</v>
      </c>
      <c r="Q6" s="224" t="e">
        <f>INDEX(E6:P6,MATCH($D$3,$E$4:$P$4,1))</f>
        <v>#REF!</v>
      </c>
      <c r="R6" s="224" t="e">
        <f>INDEX(E6:P6,MATCH($D$3,$E$4:$P$4,1)+1)</f>
        <v>#REF!</v>
      </c>
    </row>
    <row r="7" spans="1:18">
      <c r="A7" s="235"/>
      <c r="B7" s="224" t="e">
        <f>#REF!</f>
        <v>#REF!</v>
      </c>
      <c r="D7" s="232" t="e">
        <f>IF($D$3&lt;=$E$4,E7,ROUND(FORECAST($D$3,Q7:R7,$Q$4:$R$4),3))</f>
        <v>#REF!</v>
      </c>
      <c r="E7" s="233">
        <v>2.9359999999999999</v>
      </c>
      <c r="F7" s="233">
        <v>2.4910000000000001</v>
      </c>
      <c r="G7" s="233">
        <v>2.2250000000000001</v>
      </c>
      <c r="H7" s="233">
        <v>1.7190000000000001</v>
      </c>
      <c r="I7" s="233">
        <v>1.607</v>
      </c>
      <c r="J7" s="233">
        <v>1.29</v>
      </c>
      <c r="K7" s="233">
        <v>1.056</v>
      </c>
      <c r="L7" s="233">
        <v>0.91</v>
      </c>
      <c r="M7" s="233">
        <v>0.60599999999999998</v>
      </c>
      <c r="N7" s="233">
        <v>0.435</v>
      </c>
      <c r="O7" s="233">
        <v>0.32500000000000001</v>
      </c>
      <c r="P7" s="233">
        <v>0.26</v>
      </c>
      <c r="Q7" s="224" t="e">
        <f>INDEX(E7:P7,MATCH($D$3,$E$4:$P$4,1))</f>
        <v>#REF!</v>
      </c>
      <c r="R7" s="224" t="e">
        <f>INDEX(E7:P7,MATCH($D$3,$E$4:$P$4,1)+1)</f>
        <v>#REF!</v>
      </c>
    </row>
    <row r="8" spans="1:18">
      <c r="A8" s="234"/>
      <c r="B8" s="224" t="e">
        <f>#REF!</f>
        <v>#REF!</v>
      </c>
      <c r="D8" s="232" t="e">
        <f>IF($D$3&lt;=$E$4,E8,ROUND(FORECAST($D$3,Q8:R8,$Q$4:$R$4),3))</f>
        <v>#REF!</v>
      </c>
      <c r="E8" s="233">
        <v>3.1080000000000001</v>
      </c>
      <c r="F8" s="233">
        <v>2.637</v>
      </c>
      <c r="G8" s="233">
        <v>2.355</v>
      </c>
      <c r="H8" s="233">
        <v>1.819</v>
      </c>
      <c r="I8" s="233">
        <v>1.7010000000000001</v>
      </c>
      <c r="J8" s="233">
        <v>1.3660000000000001</v>
      </c>
      <c r="K8" s="233">
        <v>1.1180000000000001</v>
      </c>
      <c r="L8" s="233">
        <v>0.96399999999999997</v>
      </c>
      <c r="M8" s="233">
        <v>0.64200000000000002</v>
      </c>
      <c r="N8" s="233">
        <v>0.46100000000000002</v>
      </c>
      <c r="O8" s="233">
        <v>0.34399999999999997</v>
      </c>
      <c r="P8" s="233">
        <v>0.27500000000000002</v>
      </c>
      <c r="Q8" s="224" t="e">
        <f>INDEX(E8:P8,MATCH($D$3,$E$4:$P$4,1))</f>
        <v>#REF!</v>
      </c>
      <c r="R8" s="224" t="e">
        <f>INDEX(E8:P8,MATCH($D$3,$E$4:$P$4,1)+1)</f>
        <v>#REF!</v>
      </c>
    </row>
    <row r="9" spans="1:18">
      <c r="A9" s="236"/>
      <c r="B9" s="224" t="e">
        <f>#REF!</f>
        <v>#REF!</v>
      </c>
      <c r="D9" s="232" t="e">
        <f>IF($D$3&lt;=$E$4,E9,ROUND(FORECAST($D$3,Q9:R9,$Q$4:$R$4),3))</f>
        <v>#REF!</v>
      </c>
      <c r="E9" s="233">
        <v>2.7629999999999999</v>
      </c>
      <c r="F9" s="233">
        <v>2.3439999999999999</v>
      </c>
      <c r="G9" s="233">
        <v>2.093</v>
      </c>
      <c r="H9" s="233">
        <v>1.5169999999999999</v>
      </c>
      <c r="I9" s="233">
        <v>1.486</v>
      </c>
      <c r="J9" s="233">
        <v>1.214</v>
      </c>
      <c r="K9" s="233">
        <v>1.02</v>
      </c>
      <c r="L9" s="233">
        <v>0.85599999999999998</v>
      </c>
      <c r="M9" s="233">
        <v>0.56999999999999995</v>
      </c>
      <c r="N9" s="233">
        <v>0.40899999999999997</v>
      </c>
      <c r="O9" s="233">
        <v>0.30599999999999999</v>
      </c>
      <c r="P9" s="233">
        <v>0.245</v>
      </c>
      <c r="Q9" s="224" t="e">
        <f>INDEX(E9:P9,MATCH($D$3,$E$4:$P$4,1))</f>
        <v>#REF!</v>
      </c>
      <c r="R9" s="224" t="e">
        <f>INDEX(E9:P9,MATCH($D$3,$E$4:$P$4,1)+1)</f>
        <v>#REF!</v>
      </c>
    </row>
    <row r="10" spans="1:18">
      <c r="A10" s="225" t="s">
        <v>118</v>
      </c>
      <c r="B10" s="226" t="s">
        <v>119</v>
      </c>
    </row>
    <row r="11" spans="1:18">
      <c r="B11" s="226"/>
      <c r="C11" s="726" t="s">
        <v>116</v>
      </c>
      <c r="D11" s="249" t="e">
        <f>D3</f>
        <v>#REF!</v>
      </c>
      <c r="E11" s="227" t="s">
        <v>117</v>
      </c>
      <c r="F11" s="226"/>
      <c r="G11" s="226"/>
      <c r="H11" s="226"/>
      <c r="I11" s="226"/>
      <c r="J11" s="226"/>
      <c r="K11" s="226"/>
      <c r="L11" s="226"/>
      <c r="M11" s="226"/>
      <c r="N11" s="226"/>
      <c r="O11" s="226"/>
      <c r="P11" s="226"/>
    </row>
    <row r="12" spans="1:18">
      <c r="B12" s="228"/>
      <c r="C12" s="726"/>
      <c r="D12" s="228"/>
      <c r="E12" s="229">
        <v>15</v>
      </c>
      <c r="F12" s="229">
        <v>20</v>
      </c>
      <c r="G12" s="229">
        <v>50</v>
      </c>
      <c r="H12" s="229">
        <v>100</v>
      </c>
      <c r="I12" s="229">
        <v>200</v>
      </c>
      <c r="J12" s="229">
        <v>500</v>
      </c>
      <c r="K12" s="229">
        <v>1000</v>
      </c>
      <c r="L12" s="229">
        <v>2000</v>
      </c>
      <c r="M12" s="229">
        <v>5000</v>
      </c>
      <c r="N12" s="229">
        <v>10000</v>
      </c>
      <c r="O12" s="229">
        <v>20000</v>
      </c>
      <c r="P12" s="229">
        <v>30000</v>
      </c>
      <c r="Q12" s="250" t="e">
        <f>INDEX(E12:P12,MATCH(D11,E12:P12,1))</f>
        <v>#REF!</v>
      </c>
      <c r="R12" s="251" t="e">
        <f>INDEX(E12:P12,MATCH(D11,E12:P12,1)+1)</f>
        <v>#REF!</v>
      </c>
    </row>
    <row r="13" spans="1:18">
      <c r="A13" s="230"/>
      <c r="B13" s="224" t="e">
        <f>$B$5</f>
        <v>#REF!</v>
      </c>
      <c r="D13" s="232" t="e">
        <f>IF($D$11&lt;=$E$12,E13,ROUND(FORECAST($D$11,Q13:R13,$Q$12:$R$12),3))</f>
        <v>#REF!</v>
      </c>
      <c r="E13" s="233">
        <v>0.66800000000000004</v>
      </c>
      <c r="F13" s="233">
        <v>0.503</v>
      </c>
      <c r="G13" s="233">
        <v>0.376</v>
      </c>
      <c r="H13" s="233">
        <v>0.24</v>
      </c>
      <c r="I13" s="233">
        <v>0.161</v>
      </c>
      <c r="J13" s="233">
        <v>0.1</v>
      </c>
      <c r="K13" s="233">
        <v>8.5999999999999993E-2</v>
      </c>
      <c r="L13" s="233">
        <v>7.2999999999999995E-2</v>
      </c>
      <c r="M13" s="233">
        <v>0.05</v>
      </c>
      <c r="N13" s="233">
        <v>0.04</v>
      </c>
      <c r="O13" s="233">
        <v>2.5999999999999999E-2</v>
      </c>
      <c r="P13" s="233">
        <v>2.1999999999999999E-2</v>
      </c>
      <c r="Q13" s="224" t="e">
        <f>INDEX(E13:P13,MATCH($D$11,$E$12:$P$12,1))</f>
        <v>#REF!</v>
      </c>
      <c r="R13" s="224" t="e">
        <f>INDEX(E13:P13,MATCH($D$11,$E$12:$P$12,1)+1)</f>
        <v>#REF!</v>
      </c>
    </row>
    <row r="14" spans="1:18">
      <c r="A14" s="234"/>
      <c r="B14" s="224" t="e">
        <f>$B$6</f>
        <v>#REF!</v>
      </c>
      <c r="D14" s="232" t="e">
        <f>IF($D$11&lt;=$E$12,E14,ROUND(FORECAST($D$11,Q14:R14,$Q$12:$R$12),3))</f>
        <v>#REF!</v>
      </c>
      <c r="E14" s="233">
        <v>0.75700000000000001</v>
      </c>
      <c r="F14" s="233">
        <v>0.61199999999999999</v>
      </c>
      <c r="G14" s="233">
        <v>0.441</v>
      </c>
      <c r="H14" s="233">
        <v>0.29399999999999998</v>
      </c>
      <c r="I14" s="233">
        <v>0.20599999999999999</v>
      </c>
      <c r="J14" s="233">
        <v>0.16300000000000001</v>
      </c>
      <c r="K14" s="233">
        <v>0.14099999999999999</v>
      </c>
      <c r="L14" s="233">
        <v>0.11</v>
      </c>
      <c r="M14" s="233">
        <v>7.3999999999999996E-2</v>
      </c>
      <c r="N14" s="233">
        <v>5.7000000000000002E-2</v>
      </c>
      <c r="O14" s="233">
        <v>3.4000000000000002E-2</v>
      </c>
      <c r="P14" s="233">
        <v>2.7E-2</v>
      </c>
      <c r="Q14" s="224" t="e">
        <f>INDEX(E14:P14,MATCH($D$11,$E$12:$P$12,1))</f>
        <v>#REF!</v>
      </c>
      <c r="R14" s="224" t="e">
        <f>INDEX(E14:P14,MATCH($D$11,$E$12:$P$12,1)+1)</f>
        <v>#REF!</v>
      </c>
    </row>
    <row r="15" spans="1:18">
      <c r="A15" s="235"/>
      <c r="B15" s="224" t="e">
        <f>$B$7</f>
        <v>#REF!</v>
      </c>
      <c r="D15" s="232" t="e">
        <f>IF($D$11&lt;=$E$12,E15,ROUND(FORECAST($D$11,Q15:R15,$Q$12:$R$12),3))</f>
        <v>#REF!</v>
      </c>
      <c r="E15" s="233">
        <v>0.41299999999999998</v>
      </c>
      <c r="F15" s="233">
        <v>0.34499999999999997</v>
      </c>
      <c r="G15" s="233">
        <v>0.251</v>
      </c>
      <c r="H15" s="233">
        <v>0.17699999999999999</v>
      </c>
      <c r="I15" s="233">
        <v>0.108</v>
      </c>
      <c r="J15" s="233">
        <v>7.0999999999999994E-2</v>
      </c>
      <c r="K15" s="233">
        <v>6.2E-2</v>
      </c>
      <c r="L15" s="233">
        <v>5.2999999999999999E-2</v>
      </c>
      <c r="M15" s="233">
        <v>3.5999999999999997E-2</v>
      </c>
      <c r="N15" s="233">
        <v>2.9000000000000001E-2</v>
      </c>
      <c r="O15" s="233">
        <v>1.9E-2</v>
      </c>
      <c r="P15" s="233">
        <v>1.6E-2</v>
      </c>
      <c r="Q15" s="224" t="e">
        <f>INDEX(E15:P15,MATCH($D$11,$E$12:$P$12,1))</f>
        <v>#REF!</v>
      </c>
      <c r="R15" s="224" t="e">
        <f>INDEX(E15:P15,MATCH($D$11,$E$12:$P$12,1)+1)</f>
        <v>#REF!</v>
      </c>
    </row>
    <row r="16" spans="1:18">
      <c r="A16" s="234"/>
      <c r="B16" s="224" t="e">
        <f>$B$8</f>
        <v>#REF!</v>
      </c>
      <c r="D16" s="232" t="e">
        <f>IF($D$11&lt;=$E$12,E16,ROUND(FORECAST($D$11,Q16:R16,$Q$12:$R$12),3))</f>
        <v>#REF!</v>
      </c>
      <c r="E16" s="233">
        <v>0.56599999999999995</v>
      </c>
      <c r="F16" s="233">
        <v>0.47199999999999998</v>
      </c>
      <c r="G16" s="233">
        <v>0.34300000000000003</v>
      </c>
      <c r="H16" s="233">
        <v>0.216</v>
      </c>
      <c r="I16" s="233">
        <v>0.14399999999999999</v>
      </c>
      <c r="J16" s="233">
        <v>9.6000000000000002E-2</v>
      </c>
      <c r="K16" s="233">
        <v>8.2000000000000003E-2</v>
      </c>
      <c r="L16" s="233">
        <v>7.0000000000000007E-2</v>
      </c>
      <c r="M16" s="233">
        <v>4.8000000000000001E-2</v>
      </c>
      <c r="N16" s="233">
        <v>3.9E-2</v>
      </c>
      <c r="O16" s="233">
        <v>2.5000000000000001E-2</v>
      </c>
      <c r="P16" s="233">
        <v>2.1000000000000001E-2</v>
      </c>
      <c r="Q16" s="224" t="e">
        <f>INDEX(E16:P16,MATCH($D$11,$E$12:$P$12,1))</f>
        <v>#REF!</v>
      </c>
      <c r="R16" s="224" t="e">
        <f>INDEX(E16:P16,MATCH($D$11,$E$12:$P$12,1)+1)</f>
        <v>#REF!</v>
      </c>
    </row>
    <row r="17" spans="1:18">
      <c r="A17" s="236"/>
      <c r="B17" s="224" t="e">
        <f>$B$9</f>
        <v>#REF!</v>
      </c>
      <c r="D17" s="232" t="e">
        <f>IF($D$11&lt;=$E$12,E17,ROUND(FORECAST($D$11,Q17:R17,$Q$12:$R$12),3))</f>
        <v>#REF!</v>
      </c>
      <c r="E17" s="233">
        <v>0.43099999999999999</v>
      </c>
      <c r="F17" s="233">
        <v>0.36</v>
      </c>
      <c r="G17" s="233">
        <v>0.26200000000000001</v>
      </c>
      <c r="H17" s="233">
        <v>0.183</v>
      </c>
      <c r="I17" s="233">
        <v>0.112</v>
      </c>
      <c r="J17" s="233">
        <v>7.3999999999999996E-2</v>
      </c>
      <c r="K17" s="233">
        <v>6.5000000000000002E-2</v>
      </c>
      <c r="L17" s="233">
        <v>5.5E-2</v>
      </c>
      <c r="M17" s="233">
        <v>3.7999999999999999E-2</v>
      </c>
      <c r="N17" s="233">
        <v>0.03</v>
      </c>
      <c r="O17" s="233">
        <v>0.02</v>
      </c>
      <c r="P17" s="233">
        <v>1.7000000000000001E-2</v>
      </c>
      <c r="Q17" s="224" t="e">
        <f>INDEX(E17:P17,MATCH($D$11,$E$12:$P$12,1))</f>
        <v>#REF!</v>
      </c>
      <c r="R17" s="224" t="e">
        <f>INDEX(E17:P17,MATCH($D$11,$E$12:$P$12,1)+1)</f>
        <v>#REF!</v>
      </c>
    </row>
    <row r="18" spans="1:18">
      <c r="A18" s="225" t="s">
        <v>120</v>
      </c>
      <c r="B18" s="226" t="s">
        <v>121</v>
      </c>
    </row>
    <row r="19" spans="1:18">
      <c r="B19" s="226"/>
      <c r="C19" s="726" t="s">
        <v>116</v>
      </c>
      <c r="D19" s="249" t="e">
        <f>D3</f>
        <v>#REF!</v>
      </c>
      <c r="E19" s="227" t="s">
        <v>117</v>
      </c>
      <c r="F19" s="226"/>
      <c r="G19" s="226"/>
      <c r="H19" s="226"/>
      <c r="I19" s="226"/>
      <c r="J19" s="226"/>
      <c r="K19" s="226"/>
      <c r="L19" s="226"/>
      <c r="M19" s="226"/>
      <c r="N19" s="226"/>
      <c r="O19" s="226"/>
      <c r="P19" s="226"/>
    </row>
    <row r="20" spans="1:18">
      <c r="B20" s="228"/>
      <c r="C20" s="726"/>
      <c r="D20" s="228"/>
      <c r="E20" s="229">
        <v>15</v>
      </c>
      <c r="F20" s="229">
        <v>20</v>
      </c>
      <c r="G20" s="229">
        <v>50</v>
      </c>
      <c r="H20" s="229">
        <v>100</v>
      </c>
      <c r="I20" s="229">
        <v>200</v>
      </c>
      <c r="J20" s="229">
        <v>500</v>
      </c>
      <c r="K20" s="229">
        <v>1000</v>
      </c>
      <c r="L20" s="229">
        <v>2000</v>
      </c>
      <c r="M20" s="229">
        <v>5000</v>
      </c>
      <c r="N20" s="229">
        <v>10000</v>
      </c>
      <c r="O20" s="229">
        <v>20000</v>
      </c>
      <c r="P20" s="229">
        <v>30000</v>
      </c>
      <c r="Q20" s="250" t="e">
        <f>INDEX(E20:P20,MATCH(D19,E20:P20,1))</f>
        <v>#REF!</v>
      </c>
      <c r="R20" s="251" t="e">
        <f>INDEX(E20:P20,MATCH(D19,E20:P20,1)+1)</f>
        <v>#REF!</v>
      </c>
    </row>
    <row r="21" spans="1:18">
      <c r="A21" s="230"/>
      <c r="B21" s="224" t="e">
        <f>$B$5</f>
        <v>#REF!</v>
      </c>
      <c r="D21" s="232" t="e">
        <f>IF($D$19&lt;=$E$20,E21,ROUND(FORECAST($D$19,Q21:R21,$Q$20:$R$20),3))</f>
        <v>#REF!</v>
      </c>
      <c r="E21" s="233">
        <v>1.1140000000000001</v>
      </c>
      <c r="F21" s="233">
        <v>0.91400000000000003</v>
      </c>
      <c r="G21" s="233">
        <v>0.751</v>
      </c>
      <c r="H21" s="233">
        <v>0.53400000000000003</v>
      </c>
      <c r="I21" s="233">
        <v>0.40200000000000002</v>
      </c>
      <c r="J21" s="233">
        <v>0.28699999999999998</v>
      </c>
      <c r="K21" s="233">
        <v>0.246</v>
      </c>
      <c r="L21" s="233">
        <v>0.20899999999999999</v>
      </c>
      <c r="M21" s="233">
        <v>0.16700000000000001</v>
      </c>
      <c r="N21" s="233">
        <v>0.13400000000000001</v>
      </c>
      <c r="O21" s="233">
        <v>0.10199999999999999</v>
      </c>
      <c r="P21" s="233">
        <v>8.5999999999999993E-2</v>
      </c>
      <c r="Q21" s="224" t="e">
        <f>INDEX(E21:P21,MATCH($D$19,$E$20:$P$20,1))</f>
        <v>#REF!</v>
      </c>
      <c r="R21" s="224" t="e">
        <f>INDEX(E21:P21,MATCH($D$19,$E$20:$P$20,1)+1)</f>
        <v>#REF!</v>
      </c>
    </row>
    <row r="22" spans="1:18">
      <c r="A22" s="234"/>
      <c r="B22" s="224" t="e">
        <f>$B$6</f>
        <v>#REF!</v>
      </c>
      <c r="D22" s="232" t="e">
        <f>IF($D$19&lt;=$E$20,E22,ROUND(FORECAST($D$19,Q22:R22,$Q$20:$R$20),3))</f>
        <v>#REF!</v>
      </c>
      <c r="E22" s="233">
        <v>1.2609999999999999</v>
      </c>
      <c r="F22" s="233">
        <v>1.1120000000000001</v>
      </c>
      <c r="G22" s="233">
        <v>0.88200000000000001</v>
      </c>
      <c r="H22" s="233">
        <v>0.65400000000000003</v>
      </c>
      <c r="I22" s="233">
        <v>0.51500000000000001</v>
      </c>
      <c r="J22" s="233">
        <v>0.46600000000000003</v>
      </c>
      <c r="K22" s="233">
        <v>0.40400000000000003</v>
      </c>
      <c r="L22" s="233">
        <v>0.315</v>
      </c>
      <c r="M22" s="233">
        <v>0.248</v>
      </c>
      <c r="N22" s="233">
        <v>0.189</v>
      </c>
      <c r="O22" s="233">
        <v>0.13500000000000001</v>
      </c>
      <c r="P22" s="233">
        <v>0.107</v>
      </c>
      <c r="Q22" s="224" t="e">
        <f>INDEX(E22:P22,MATCH($D$19,$E$20:$P$20,1))</f>
        <v>#REF!</v>
      </c>
      <c r="R22" s="224" t="e">
        <f>INDEX(E22:P22,MATCH($D$19,$E$20:$P$20,1)+1)</f>
        <v>#REF!</v>
      </c>
    </row>
    <row r="23" spans="1:18">
      <c r="A23" s="235"/>
      <c r="B23" s="224" t="e">
        <f>$B$7</f>
        <v>#REF!</v>
      </c>
      <c r="D23" s="232" t="e">
        <f>IF($D$19&lt;=$E$20,E23,ROUND(FORECAST($D$19,Q23:R23,$Q$20:$R$20),3))</f>
        <v>#REF!</v>
      </c>
      <c r="E23" s="233">
        <v>0.68899999999999995</v>
      </c>
      <c r="F23" s="233">
        <v>0.628</v>
      </c>
      <c r="G23" s="233">
        <v>0.501</v>
      </c>
      <c r="H23" s="233">
        <v>0.39300000000000002</v>
      </c>
      <c r="I23" s="233">
        <v>0.27100000000000002</v>
      </c>
      <c r="J23" s="233">
        <v>0.20300000000000001</v>
      </c>
      <c r="K23" s="233">
        <v>0.17699999999999999</v>
      </c>
      <c r="L23" s="233">
        <v>0.151</v>
      </c>
      <c r="M23" s="233">
        <v>0.12</v>
      </c>
      <c r="N23" s="233">
        <v>9.7000000000000003E-2</v>
      </c>
      <c r="O23" s="233">
        <v>7.4999999999999997E-2</v>
      </c>
      <c r="P23" s="233">
        <v>6.3E-2</v>
      </c>
      <c r="Q23" s="224" t="e">
        <f>INDEX(E23:P23,MATCH($D$19,$E$20:$P$20,1))</f>
        <v>#REF!</v>
      </c>
      <c r="R23" s="224" t="e">
        <f>INDEX(E23:P23,MATCH($D$19,$E$20:$P$20,1)+1)</f>
        <v>#REF!</v>
      </c>
    </row>
    <row r="24" spans="1:18">
      <c r="A24" s="234"/>
      <c r="B24" s="224" t="e">
        <f>$B$8</f>
        <v>#REF!</v>
      </c>
      <c r="D24" s="232" t="e">
        <f>IF($D$19&lt;=$E$20,E24,ROUND(FORECAST($D$19,Q24:R24,$Q$20:$R$20),3))</f>
        <v>#REF!</v>
      </c>
      <c r="E24" s="233">
        <v>0.94299999999999995</v>
      </c>
      <c r="F24" s="233">
        <v>0.85799999999999998</v>
      </c>
      <c r="G24" s="233">
        <v>0.68500000000000005</v>
      </c>
      <c r="H24" s="233">
        <v>0.48</v>
      </c>
      <c r="I24" s="233">
        <v>0.36099999999999999</v>
      </c>
      <c r="J24" s="233">
        <v>0.27300000000000002</v>
      </c>
      <c r="K24" s="233">
        <v>0.23400000000000001</v>
      </c>
      <c r="L24" s="233">
        <v>0.20100000000000001</v>
      </c>
      <c r="M24" s="233">
        <v>0.161</v>
      </c>
      <c r="N24" s="233">
        <v>0.129</v>
      </c>
      <c r="O24" s="233">
        <v>0.1</v>
      </c>
      <c r="P24" s="233">
        <v>8.4000000000000005E-2</v>
      </c>
      <c r="Q24" s="224" t="e">
        <f>INDEX(E24:P24,MATCH($D$19,$E$20:$P$20,1))</f>
        <v>#REF!</v>
      </c>
      <c r="R24" s="224" t="e">
        <f>INDEX(E24:P24,MATCH($D$19,$E$20:$P$20,1)+1)</f>
        <v>#REF!</v>
      </c>
    </row>
    <row r="25" spans="1:18">
      <c r="A25" s="236"/>
      <c r="B25" s="224" t="e">
        <f>$B$9</f>
        <v>#REF!</v>
      </c>
      <c r="D25" s="232" t="e">
        <f>IF($D$19&lt;=$E$20,E25,ROUND(FORECAST($D$19,Q25:R25,$Q$20:$R$20),3))</f>
        <v>#REF!</v>
      </c>
      <c r="E25" s="233">
        <v>0.71899999999999997</v>
      </c>
      <c r="F25" s="233">
        <v>0.65400000000000003</v>
      </c>
      <c r="G25" s="233">
        <v>0.52400000000000002</v>
      </c>
      <c r="H25" s="233">
        <v>0.40699999999999997</v>
      </c>
      <c r="I25" s="233">
        <v>0.28000000000000003</v>
      </c>
      <c r="J25" s="233">
        <v>0.21099999999999999</v>
      </c>
      <c r="K25" s="233">
        <v>0.185</v>
      </c>
      <c r="L25" s="233">
        <v>0.158</v>
      </c>
      <c r="M25" s="233">
        <v>0.127</v>
      </c>
      <c r="N25" s="233">
        <v>0.10100000000000001</v>
      </c>
      <c r="O25" s="233">
        <v>7.8E-2</v>
      </c>
      <c r="P25" s="233">
        <v>6.5000000000000002E-2</v>
      </c>
      <c r="Q25" s="224" t="e">
        <f>INDEX(E25:P25,MATCH($D$19,$E$20:$P$20,1))</f>
        <v>#REF!</v>
      </c>
      <c r="R25" s="224" t="e">
        <f>INDEX(E25:P25,MATCH($D$19,$E$20:$P$20,1)+1)</f>
        <v>#REF!</v>
      </c>
    </row>
    <row r="26" spans="1:18">
      <c r="A26" s="225" t="s">
        <v>122</v>
      </c>
      <c r="B26" s="226" t="s">
        <v>123</v>
      </c>
    </row>
    <row r="27" spans="1:18">
      <c r="B27" s="226"/>
      <c r="C27" s="726" t="s">
        <v>116</v>
      </c>
      <c r="D27" s="249" t="e">
        <f>D3</f>
        <v>#REF!</v>
      </c>
      <c r="E27" s="227" t="s">
        <v>117</v>
      </c>
      <c r="F27" s="226"/>
      <c r="G27" s="226"/>
      <c r="H27" s="226"/>
      <c r="I27" s="226"/>
      <c r="J27" s="226"/>
      <c r="K27" s="226"/>
      <c r="L27" s="226"/>
      <c r="M27" s="226"/>
      <c r="N27" s="226"/>
      <c r="O27" s="226"/>
      <c r="P27" s="226"/>
    </row>
    <row r="28" spans="1:18">
      <c r="B28" s="228"/>
      <c r="C28" s="726"/>
      <c r="D28" s="228"/>
      <c r="E28" s="229">
        <v>1</v>
      </c>
      <c r="F28" s="229">
        <v>3</v>
      </c>
      <c r="G28" s="229">
        <v>7</v>
      </c>
      <c r="H28" s="229">
        <v>15</v>
      </c>
      <c r="I28" s="237"/>
      <c r="J28" s="237"/>
      <c r="K28" s="237"/>
      <c r="L28" s="237"/>
      <c r="M28" s="237"/>
      <c r="N28" s="237"/>
      <c r="O28" s="237"/>
      <c r="P28" s="237"/>
      <c r="Q28" s="250" t="e">
        <f>INDEX(E28:H28,MATCH(D27,E28:H28,1))</f>
        <v>#REF!</v>
      </c>
      <c r="R28" s="251" t="e">
        <f>INDEX(E28:H28,MATCH(D27,E28:H28,1)+1)</f>
        <v>#REF!</v>
      </c>
    </row>
    <row r="29" spans="1:18">
      <c r="A29" s="230"/>
      <c r="B29" s="224" t="e">
        <f>$B$5</f>
        <v>#REF!</v>
      </c>
      <c r="D29" s="232" t="e">
        <f>IF($D$27&lt;=$E$28,E29,IF($D$27&gt;=$H$28,"Xem lại",ROUND(FORECAST($D$27,Q29:R29,$Q$28:$R$28),3)))</f>
        <v>#REF!</v>
      </c>
      <c r="E29" s="233">
        <v>6.5</v>
      </c>
      <c r="F29" s="233">
        <v>4.7</v>
      </c>
      <c r="G29" s="233">
        <v>4.2</v>
      </c>
      <c r="H29" s="233">
        <v>3.6</v>
      </c>
      <c r="I29" s="238"/>
      <c r="J29" s="238"/>
      <c r="K29" s="238"/>
      <c r="L29" s="238"/>
      <c r="M29" s="238"/>
      <c r="N29" s="238"/>
      <c r="O29" s="238"/>
      <c r="P29" s="238"/>
      <c r="Q29" s="224" t="e">
        <f>INDEX(E29:H29,MATCH($D$27,$E$28:$H$28,1))</f>
        <v>#REF!</v>
      </c>
      <c r="R29" s="224" t="e">
        <f>INDEX(E29:H29,MATCH($D$27,$E$28:$H$28,1)+1)</f>
        <v>#REF!</v>
      </c>
    </row>
    <row r="30" spans="1:18">
      <c r="A30" s="234"/>
      <c r="B30" s="224" t="e">
        <f>$B$6</f>
        <v>#REF!</v>
      </c>
      <c r="D30" s="232" t="e">
        <f>IF($D$27&lt;=$E$28,E30,IF($D$27&gt;=$H$28,"Xem lại",ROUND(FORECAST($D$27,Q30:R30,$Q$28:$R$28),3)))</f>
        <v>#REF!</v>
      </c>
      <c r="E30" s="233">
        <v>6.7</v>
      </c>
      <c r="F30" s="233">
        <v>4.8</v>
      </c>
      <c r="G30" s="233">
        <v>4.3</v>
      </c>
      <c r="H30" s="233">
        <v>3.8</v>
      </c>
      <c r="I30" s="238"/>
      <c r="J30" s="238"/>
      <c r="K30" s="238"/>
      <c r="L30" s="238"/>
      <c r="M30" s="238"/>
      <c r="N30" s="238"/>
      <c r="O30" s="238"/>
      <c r="P30" s="238"/>
      <c r="Q30" s="224" t="e">
        <f>INDEX(E30:H30,MATCH($D$27,$E$28:$H$28,1))</f>
        <v>#REF!</v>
      </c>
      <c r="R30" s="224" t="e">
        <f>INDEX(E30:H30,MATCH($D$27,$E$28:$H$28,1)+1)</f>
        <v>#REF!</v>
      </c>
    </row>
    <row r="31" spans="1:18">
      <c r="A31" s="235"/>
      <c r="B31" s="224" t="e">
        <f>$B$7</f>
        <v>#REF!</v>
      </c>
      <c r="D31" s="232" t="e">
        <f>IF($D$27&lt;=$E$28,E31,IF($D$27&gt;=$H$28,"Xem lại",ROUND(FORECAST($D$27,Q31:R31,$Q$28:$R$28),3)))</f>
        <v>#REF!</v>
      </c>
      <c r="E31" s="233">
        <v>5.4</v>
      </c>
      <c r="F31" s="233">
        <v>3.6</v>
      </c>
      <c r="G31" s="233">
        <v>2.7</v>
      </c>
      <c r="H31" s="233">
        <v>2.5</v>
      </c>
      <c r="I31" s="238"/>
      <c r="J31" s="238"/>
      <c r="K31" s="238"/>
      <c r="L31" s="238"/>
      <c r="M31" s="238"/>
      <c r="N31" s="238"/>
      <c r="O31" s="238"/>
      <c r="P31" s="238"/>
      <c r="Q31" s="224" t="e">
        <f>INDEX(E31:H31,MATCH($D$27,$E$28:$H$28,1))</f>
        <v>#REF!</v>
      </c>
      <c r="R31" s="224" t="e">
        <f>INDEX(E31:H31,MATCH($D$27,$E$28:$H$28,1)+1)</f>
        <v>#REF!</v>
      </c>
    </row>
    <row r="32" spans="1:18">
      <c r="A32" s="234"/>
      <c r="B32" s="224" t="e">
        <f>$B$8</f>
        <v>#REF!</v>
      </c>
      <c r="D32" s="232" t="e">
        <f>IF($D$27&lt;=$E$28,E32,IF($D$27&gt;=$H$28,"Xem lại",ROUND(FORECAST($D$27,Q32:R32,$Q$28:$R$28),3)))</f>
        <v>#REF!</v>
      </c>
      <c r="E32" s="233">
        <v>6.2</v>
      </c>
      <c r="F32" s="233">
        <v>4.4000000000000004</v>
      </c>
      <c r="G32" s="233">
        <v>3.9</v>
      </c>
      <c r="H32" s="233">
        <v>3.6</v>
      </c>
      <c r="I32" s="238"/>
      <c r="J32" s="238"/>
      <c r="K32" s="238"/>
      <c r="L32" s="238"/>
      <c r="M32" s="238"/>
      <c r="N32" s="238"/>
      <c r="O32" s="238"/>
      <c r="P32" s="238"/>
      <c r="Q32" s="224" t="e">
        <f>INDEX(E32:H32,MATCH($D$27,$E$28:$H$28,1))</f>
        <v>#REF!</v>
      </c>
      <c r="R32" s="224" t="e">
        <f>INDEX(E32:H32,MATCH($D$27,$E$28:$H$28,1)+1)</f>
        <v>#REF!</v>
      </c>
    </row>
    <row r="33" spans="1:18">
      <c r="A33" s="236"/>
      <c r="B33" s="224" t="e">
        <f>$B$9</f>
        <v>#REF!</v>
      </c>
      <c r="D33" s="232" t="e">
        <f>IF($D$27&lt;=$E$28,E33,IF($D$27&gt;=$H$28,"Xem lại",ROUND(FORECAST($D$27,Q33:R33,$Q$28:$R$28),3)))</f>
        <v>#REF!</v>
      </c>
      <c r="E33" s="233">
        <v>5.8</v>
      </c>
      <c r="F33" s="233">
        <v>4.2</v>
      </c>
      <c r="G33" s="233">
        <v>3.4</v>
      </c>
      <c r="H33" s="233">
        <v>3</v>
      </c>
      <c r="I33" s="238"/>
      <c r="J33" s="238"/>
      <c r="K33" s="238"/>
      <c r="L33" s="238"/>
      <c r="M33" s="238"/>
      <c r="N33" s="238"/>
      <c r="O33" s="238"/>
      <c r="P33" s="238"/>
      <c r="Q33" s="224" t="e">
        <f>INDEX(E33:H33,MATCH($D$27,$E$28:$H$28,1))</f>
        <v>#REF!</v>
      </c>
      <c r="R33" s="224" t="e">
        <f>INDEX(E33:H33,MATCH($D$27,$E$28:$H$28,1)+1)</f>
        <v>#REF!</v>
      </c>
    </row>
    <row r="34" spans="1:18">
      <c r="A34" s="225" t="s">
        <v>124</v>
      </c>
      <c r="B34" s="226" t="s">
        <v>125</v>
      </c>
    </row>
    <row r="35" spans="1:18">
      <c r="B35" s="226"/>
      <c r="C35" s="726" t="s">
        <v>116</v>
      </c>
      <c r="D35" s="249" t="e">
        <f>#REF!/10^9</f>
        <v>#REF!</v>
      </c>
      <c r="E35" s="227" t="s">
        <v>126</v>
      </c>
      <c r="F35" s="226"/>
      <c r="G35" s="226"/>
      <c r="H35" s="226"/>
      <c r="I35" s="226"/>
      <c r="J35" s="226"/>
      <c r="K35" s="226"/>
      <c r="L35" s="226"/>
      <c r="M35" s="226"/>
      <c r="N35" s="226"/>
      <c r="O35" s="226"/>
      <c r="P35" s="226"/>
    </row>
    <row r="36" spans="1:18">
      <c r="B36" s="228"/>
      <c r="C36" s="726"/>
      <c r="D36" s="228"/>
      <c r="E36" s="229">
        <v>10</v>
      </c>
      <c r="F36" s="229">
        <v>20</v>
      </c>
      <c r="G36" s="229">
        <v>50</v>
      </c>
      <c r="H36" s="229">
        <v>100</v>
      </c>
      <c r="I36" s="229">
        <v>200</v>
      </c>
      <c r="J36" s="229">
        <v>500</v>
      </c>
      <c r="K36" s="229">
        <v>1000</v>
      </c>
      <c r="L36" s="229">
        <v>2000</v>
      </c>
      <c r="M36" s="229">
        <v>5000</v>
      </c>
      <c r="N36" s="229">
        <v>8000</v>
      </c>
      <c r="O36" s="229">
        <v>10000</v>
      </c>
      <c r="P36" s="237"/>
      <c r="Q36" s="250" t="e">
        <f>INDEX(E36:P36,MATCH(D35,E36:P36,1))</f>
        <v>#REF!</v>
      </c>
      <c r="R36" s="251" t="e">
        <f>INDEX(E36:P36,MATCH(D35,E36:P36,1)+1)</f>
        <v>#REF!</v>
      </c>
    </row>
    <row r="37" spans="1:18">
      <c r="A37" s="239"/>
      <c r="B37" s="224" t="e">
        <f>$B$5</f>
        <v>#REF!</v>
      </c>
      <c r="D37" s="232" t="e">
        <f>IF($D$35&lt;=$E$36,E37,ROUND(FORECAST($D$35,Q37:R37,$Q$36:$R$36),3))</f>
        <v>#REF!</v>
      </c>
      <c r="E37" s="233">
        <v>4.66</v>
      </c>
      <c r="F37" s="233">
        <v>4.05</v>
      </c>
      <c r="G37" s="233">
        <v>3.41</v>
      </c>
      <c r="H37" s="233">
        <v>3.1</v>
      </c>
      <c r="I37" s="233">
        <v>2.83</v>
      </c>
      <c r="J37" s="233">
        <v>2.39</v>
      </c>
      <c r="K37" s="233">
        <v>1.93</v>
      </c>
      <c r="L37" s="233">
        <v>1.65</v>
      </c>
      <c r="M37" s="233">
        <v>1.28</v>
      </c>
      <c r="N37" s="233">
        <v>0.99</v>
      </c>
      <c r="O37" s="233">
        <v>0.91</v>
      </c>
      <c r="P37" s="238"/>
      <c r="Q37" s="224" t="e">
        <f>INDEX(E37:O37,MATCH($D$35,$E$36:$O$36,1))</f>
        <v>#REF!</v>
      </c>
      <c r="R37" s="224" t="e">
        <f>INDEX(E37:O37,MATCH($D$35,$E$36:$O$36,1)+1)</f>
        <v>#REF!</v>
      </c>
    </row>
    <row r="38" spans="1:18">
      <c r="A38" s="240" t="e">
        <f>#REF!</f>
        <v>#REF!</v>
      </c>
      <c r="B38" s="224" t="e">
        <f>$B$6</f>
        <v>#REF!</v>
      </c>
      <c r="D38" s="232" t="e">
        <f>IF($D$35&lt;=$E$36,E38,ROUND(FORECAST($D$35,Q38:R38,$Q$36:$R$36),3))</f>
        <v>#REF!</v>
      </c>
      <c r="E38" s="233">
        <v>4.7</v>
      </c>
      <c r="F38" s="233">
        <v>4.2699999999999996</v>
      </c>
      <c r="G38" s="233">
        <v>3.66</v>
      </c>
      <c r="H38" s="233">
        <v>3.32</v>
      </c>
      <c r="I38" s="233">
        <v>3.01</v>
      </c>
      <c r="J38" s="233">
        <v>2.75</v>
      </c>
      <c r="K38" s="233">
        <v>2.4</v>
      </c>
      <c r="L38" s="233">
        <v>2.0299999999999998</v>
      </c>
      <c r="M38" s="233">
        <v>1.52</v>
      </c>
      <c r="N38" s="233">
        <v>1.21</v>
      </c>
      <c r="O38" s="233">
        <v>1.04</v>
      </c>
      <c r="P38" s="238"/>
      <c r="Q38" s="224" t="e">
        <f>INDEX(E38:O38,MATCH($D$35,$E$36:$O$36,1))</f>
        <v>#REF!</v>
      </c>
      <c r="R38" s="224" t="e">
        <f>INDEX(E38:O38,MATCH($D$35,$E$36:$O$36,1)+1)</f>
        <v>#REF!</v>
      </c>
    </row>
    <row r="39" spans="1:18">
      <c r="A39" s="240"/>
      <c r="B39" s="224" t="e">
        <f>$B$7</f>
        <v>#REF!</v>
      </c>
      <c r="D39" s="232" t="e">
        <f>IF($D$35&lt;=$E$36,E39,ROUND(FORECAST($D$35,Q39:R39,$Q$36:$R$36),3))</f>
        <v>#REF!</v>
      </c>
      <c r="E39" s="233">
        <v>3.01</v>
      </c>
      <c r="F39" s="233">
        <v>2.76</v>
      </c>
      <c r="G39" s="233">
        <v>2.36</v>
      </c>
      <c r="H39" s="233">
        <v>2.15</v>
      </c>
      <c r="I39" s="233">
        <v>1.95</v>
      </c>
      <c r="J39" s="233">
        <v>1.78</v>
      </c>
      <c r="K39" s="233">
        <v>1.52</v>
      </c>
      <c r="L39" s="233">
        <v>1.32</v>
      </c>
      <c r="M39" s="233">
        <v>1.02</v>
      </c>
      <c r="N39" s="233">
        <v>0.75</v>
      </c>
      <c r="O39" s="233">
        <v>0.66</v>
      </c>
      <c r="P39" s="238"/>
      <c r="Q39" s="224" t="e">
        <f>INDEX(E39:O39,MATCH($D$35,$E$36:$O$36,1))</f>
        <v>#REF!</v>
      </c>
      <c r="R39" s="224" t="e">
        <f>INDEX(E39:O39,MATCH($D$35,$E$36:$O$36,1)+1)</f>
        <v>#REF!</v>
      </c>
    </row>
    <row r="40" spans="1:18">
      <c r="A40" s="240"/>
      <c r="B40" s="224" t="e">
        <f>$B$8</f>
        <v>#REF!</v>
      </c>
      <c r="D40" s="232" t="e">
        <f>IF($D$35&lt;=$E$36,E40,ROUND(FORECAST($D$35,Q40:R40,$Q$36:$R$36),3))</f>
        <v>#REF!</v>
      </c>
      <c r="E40" s="233">
        <v>4.29</v>
      </c>
      <c r="F40" s="233">
        <v>3.75</v>
      </c>
      <c r="G40" s="233">
        <v>3.17</v>
      </c>
      <c r="H40" s="233">
        <v>2.85</v>
      </c>
      <c r="I40" s="233">
        <v>2.6</v>
      </c>
      <c r="J40" s="233">
        <v>2.21</v>
      </c>
      <c r="K40" s="233">
        <v>1.87</v>
      </c>
      <c r="L40" s="233">
        <v>1.58</v>
      </c>
      <c r="M40" s="233">
        <v>1.22</v>
      </c>
      <c r="N40" s="233">
        <v>0.95</v>
      </c>
      <c r="O40" s="233">
        <v>0.83</v>
      </c>
      <c r="P40" s="238"/>
      <c r="Q40" s="224" t="e">
        <f>INDEX(E40:O40,MATCH($D$35,$E$36:$O$36,1))</f>
        <v>#REF!</v>
      </c>
      <c r="R40" s="224" t="e">
        <f>INDEX(E40:O40,MATCH($D$35,$E$36:$O$36,1)+1)</f>
        <v>#REF!</v>
      </c>
    </row>
    <row r="41" spans="1:18">
      <c r="A41" s="240"/>
      <c r="B41" s="224" t="e">
        <f>$B$9</f>
        <v>#REF!</v>
      </c>
      <c r="D41" s="232" t="e">
        <f>IF($D$35&lt;=$E$36,E41,ROUND(FORECAST($D$35,Q41:R41,$Q$36:$R$36),3))</f>
        <v>#REF!</v>
      </c>
      <c r="E41" s="233">
        <v>3.23</v>
      </c>
      <c r="F41" s="233">
        <v>2.79</v>
      </c>
      <c r="G41" s="233">
        <v>2.35</v>
      </c>
      <c r="H41" s="233">
        <v>2.13</v>
      </c>
      <c r="I41" s="233">
        <v>1.95</v>
      </c>
      <c r="J41" s="233">
        <v>1.64</v>
      </c>
      <c r="K41" s="233">
        <v>1.39</v>
      </c>
      <c r="L41" s="233">
        <v>1.19</v>
      </c>
      <c r="M41" s="233">
        <v>0.9</v>
      </c>
      <c r="N41" s="233">
        <v>0.7</v>
      </c>
      <c r="O41" s="233">
        <v>0.63</v>
      </c>
      <c r="P41" s="238"/>
      <c r="Q41" s="224" t="e">
        <f>INDEX(E41:O41,MATCH($D$35,$E$36:$O$36,1))</f>
        <v>#REF!</v>
      </c>
      <c r="R41" s="224" t="e">
        <f>INDEX(E41:O41,MATCH($D$35,$E$36:$O$36,1)+1)</f>
        <v>#REF!</v>
      </c>
    </row>
    <row r="42" spans="1:18">
      <c r="A42" s="225" t="s">
        <v>127</v>
      </c>
      <c r="B42" s="226" t="s">
        <v>128</v>
      </c>
    </row>
    <row r="43" spans="1:18">
      <c r="B43" s="226"/>
      <c r="C43" s="726" t="s">
        <v>116</v>
      </c>
      <c r="D43" s="249" t="e">
        <f>D35</f>
        <v>#REF!</v>
      </c>
      <c r="E43" s="227" t="s">
        <v>126</v>
      </c>
      <c r="F43" s="226"/>
      <c r="G43" s="226"/>
      <c r="H43" s="226"/>
      <c r="I43" s="226"/>
      <c r="J43" s="226"/>
      <c r="K43" s="226"/>
      <c r="L43" s="226"/>
      <c r="M43" s="226"/>
      <c r="N43" s="226"/>
      <c r="O43" s="226"/>
      <c r="P43" s="226"/>
    </row>
    <row r="44" spans="1:18">
      <c r="B44" s="228"/>
      <c r="C44" s="726"/>
      <c r="D44" s="228"/>
      <c r="E44" s="229">
        <v>10</v>
      </c>
      <c r="F44" s="229">
        <v>20</v>
      </c>
      <c r="G44" s="229">
        <v>50</v>
      </c>
      <c r="H44" s="229">
        <v>100</v>
      </c>
      <c r="I44" s="229">
        <v>200</v>
      </c>
      <c r="J44" s="229">
        <v>500</v>
      </c>
      <c r="K44" s="229">
        <v>1000</v>
      </c>
      <c r="L44" s="229">
        <v>2000</v>
      </c>
      <c r="M44" s="229">
        <v>5000</v>
      </c>
      <c r="N44" s="229">
        <v>8000</v>
      </c>
      <c r="O44" s="229">
        <v>10000</v>
      </c>
      <c r="P44" s="237"/>
      <c r="Q44" s="250" t="e">
        <f>INDEX(E44:P44,MATCH(D43,E44:P44,1))</f>
        <v>#REF!</v>
      </c>
      <c r="R44" s="251" t="e">
        <f>INDEX(E44:P44,MATCH(D43,E44:P44,1)+1)</f>
        <v>#REF!</v>
      </c>
    </row>
    <row r="45" spans="1:18">
      <c r="A45" s="239"/>
      <c r="B45" s="224" t="e">
        <f>$B$5</f>
        <v>#REF!</v>
      </c>
      <c r="D45" s="232" t="e">
        <f>IF($D$43&lt;=$E$44,E45,ROUND(FORECAST($D$43,Q45:R45,$Q$44:$R$44),3))</f>
        <v>#REF!</v>
      </c>
      <c r="E45" s="233">
        <v>4.22</v>
      </c>
      <c r="F45" s="233">
        <v>3.66</v>
      </c>
      <c r="G45" s="233">
        <v>3.1</v>
      </c>
      <c r="H45" s="233">
        <v>2.82</v>
      </c>
      <c r="I45" s="233">
        <v>2.57</v>
      </c>
      <c r="J45" s="233">
        <v>2.17</v>
      </c>
      <c r="K45" s="233">
        <v>1.76</v>
      </c>
      <c r="L45" s="233">
        <v>1.51</v>
      </c>
      <c r="M45" s="233">
        <v>1.1599999999999999</v>
      </c>
      <c r="N45" s="233">
        <v>0.9</v>
      </c>
      <c r="O45" s="233">
        <v>0.8</v>
      </c>
      <c r="P45" s="238"/>
      <c r="Q45" s="224" t="e">
        <f>INDEX(E45:O45,MATCH($D$43,$E$44:$O$44,1))</f>
        <v>#REF!</v>
      </c>
      <c r="R45" s="224" t="e">
        <f>INDEX(E45:O45,MATCH($D$43,$E$44:$O$44,1)+1)</f>
        <v>#REF!</v>
      </c>
    </row>
    <row r="46" spans="1:18">
      <c r="A46" s="240" t="e">
        <f>#REF!</f>
        <v>#REF!</v>
      </c>
      <c r="B46" s="224" t="e">
        <f>$B$6</f>
        <v>#REF!</v>
      </c>
      <c r="D46" s="232" t="e">
        <f>IF($D$43&lt;=$E$44,E46,ROUND(FORECAST($D$43,Q46:R46,$Q$44:$R$44),3))</f>
        <v>#REF!</v>
      </c>
      <c r="E46" s="233">
        <v>3.87</v>
      </c>
      <c r="F46" s="233">
        <v>3.57</v>
      </c>
      <c r="G46" s="233">
        <v>3.02</v>
      </c>
      <c r="H46" s="233">
        <v>2.77</v>
      </c>
      <c r="I46" s="233">
        <v>2.5</v>
      </c>
      <c r="J46" s="233">
        <v>2.2799999999999998</v>
      </c>
      <c r="K46" s="233">
        <v>2.0099999999999998</v>
      </c>
      <c r="L46" s="233">
        <v>1.7</v>
      </c>
      <c r="M46" s="233">
        <v>1.26</v>
      </c>
      <c r="N46" s="233">
        <v>1.02</v>
      </c>
      <c r="O46" s="233">
        <v>0.88</v>
      </c>
      <c r="P46" s="238"/>
      <c r="Q46" s="224" t="e">
        <f>INDEX(E46:O46,MATCH($D$43,$E$44:$O$44,1))</f>
        <v>#REF!</v>
      </c>
      <c r="R46" s="224" t="e">
        <f>INDEX(E46:O46,MATCH($D$43,$E$44:$O$44,1)+1)</f>
        <v>#REF!</v>
      </c>
    </row>
    <row r="47" spans="1:18">
      <c r="A47" s="240"/>
      <c r="B47" s="224" t="e">
        <f>$B$7</f>
        <v>#REF!</v>
      </c>
      <c r="D47" s="232" t="e">
        <f>IF($D$43&lt;=$E$44,E47,ROUND(FORECAST($D$43,Q47:R47,$Q$44:$R$44),3))</f>
        <v>#REF!</v>
      </c>
      <c r="E47" s="233">
        <v>2.27</v>
      </c>
      <c r="F47" s="233">
        <v>2.15</v>
      </c>
      <c r="G47" s="233">
        <v>1.83</v>
      </c>
      <c r="H47" s="233">
        <v>1.67</v>
      </c>
      <c r="I47" s="233">
        <v>1.51</v>
      </c>
      <c r="J47" s="233">
        <v>1.38</v>
      </c>
      <c r="K47" s="233">
        <v>1.21</v>
      </c>
      <c r="L47" s="233">
        <v>1.03</v>
      </c>
      <c r="M47" s="233">
        <v>0.79</v>
      </c>
      <c r="N47" s="233">
        <v>1.61</v>
      </c>
      <c r="O47" s="233">
        <v>0.49</v>
      </c>
      <c r="P47" s="238"/>
      <c r="Q47" s="224" t="e">
        <f>INDEX(E47:O47,MATCH($D$43,$E$44:$O$44,1))</f>
        <v>#REF!</v>
      </c>
      <c r="R47" s="224" t="e">
        <f>INDEX(E47:O47,MATCH($D$43,$E$44:$O$44,1)+1)</f>
        <v>#REF!</v>
      </c>
    </row>
    <row r="48" spans="1:18">
      <c r="A48" s="240"/>
      <c r="B48" s="224" t="e">
        <f>$B$8</f>
        <v>#REF!</v>
      </c>
      <c r="D48" s="232" t="e">
        <f>IF($D$43&lt;=$E$44,E48,ROUND(FORECAST($D$43,Q48:R48,$Q$44:$R$44),3))</f>
        <v>#REF!</v>
      </c>
      <c r="E48" s="233">
        <v>3.89</v>
      </c>
      <c r="F48" s="233">
        <v>3.4</v>
      </c>
      <c r="G48" s="233">
        <v>2.87</v>
      </c>
      <c r="H48" s="233">
        <v>2.57</v>
      </c>
      <c r="I48" s="233">
        <v>2.36</v>
      </c>
      <c r="J48" s="233">
        <v>2</v>
      </c>
      <c r="K48" s="233">
        <v>1.69</v>
      </c>
      <c r="L48" s="233">
        <v>1.43</v>
      </c>
      <c r="M48" s="233">
        <v>1.1000000000000001</v>
      </c>
      <c r="N48" s="233">
        <v>0.85</v>
      </c>
      <c r="O48" s="233">
        <v>0.74</v>
      </c>
      <c r="P48" s="238"/>
      <c r="Q48" s="224" t="e">
        <f>INDEX(E48:O48,MATCH($D$43,$E$44:$O$44,1))</f>
        <v>#REF!</v>
      </c>
      <c r="R48" s="224" t="e">
        <f>INDEX(E48:O48,MATCH($D$43,$E$44:$O$44,1)+1)</f>
        <v>#REF!</v>
      </c>
    </row>
    <row r="49" spans="1:18">
      <c r="A49" s="240"/>
      <c r="B49" s="224" t="e">
        <f>$B$9</f>
        <v>#REF!</v>
      </c>
      <c r="D49" s="232" t="e">
        <f>IF($D$43&lt;=$E$44,E49,ROUND(FORECAST($D$43,Q49:R49,$Q$44:$R$44),3))</f>
        <v>#REF!</v>
      </c>
      <c r="E49" s="233">
        <v>3.01</v>
      </c>
      <c r="F49" s="233">
        <v>2.63</v>
      </c>
      <c r="G49" s="233">
        <v>2.21</v>
      </c>
      <c r="H49" s="233">
        <v>1.99</v>
      </c>
      <c r="I49" s="233">
        <v>1.82</v>
      </c>
      <c r="J49" s="233">
        <v>1.49</v>
      </c>
      <c r="K49" s="233">
        <v>1.28</v>
      </c>
      <c r="L49" s="233">
        <v>1.07</v>
      </c>
      <c r="M49" s="233">
        <v>0.79</v>
      </c>
      <c r="N49" s="233">
        <v>0.57999999999999996</v>
      </c>
      <c r="O49" s="233">
        <v>0.49</v>
      </c>
      <c r="P49" s="238"/>
      <c r="Q49" s="224" t="e">
        <f>INDEX(E49:O49,MATCH($D$43,$E$44:$O$44,1))</f>
        <v>#REF!</v>
      </c>
      <c r="R49" s="224" t="e">
        <f>INDEX(E49:O49,MATCH($D$43,$E$44:$O$44,1)+1)</f>
        <v>#REF!</v>
      </c>
    </row>
    <row r="50" spans="1:18">
      <c r="A50" s="225" t="s">
        <v>127</v>
      </c>
      <c r="B50" s="226" t="s">
        <v>129</v>
      </c>
    </row>
    <row r="51" spans="1:18">
      <c r="B51" s="226"/>
      <c r="C51" s="726" t="s">
        <v>116</v>
      </c>
      <c r="D51" s="249" t="e">
        <f>D35</f>
        <v>#REF!</v>
      </c>
      <c r="E51" s="227" t="s">
        <v>126</v>
      </c>
      <c r="F51" s="226"/>
      <c r="G51" s="226"/>
      <c r="H51" s="226"/>
      <c r="I51" s="226"/>
      <c r="J51" s="226"/>
      <c r="K51" s="226"/>
      <c r="L51" s="226"/>
      <c r="M51" s="226"/>
      <c r="N51" s="226"/>
      <c r="O51" s="226"/>
      <c r="P51" s="226"/>
    </row>
    <row r="52" spans="1:18">
      <c r="B52" s="228"/>
      <c r="C52" s="726"/>
      <c r="D52" s="228"/>
      <c r="E52" s="229">
        <v>10</v>
      </c>
      <c r="F52" s="229">
        <v>20</v>
      </c>
      <c r="G52" s="229">
        <v>50</v>
      </c>
      <c r="H52" s="229">
        <v>100</v>
      </c>
      <c r="I52" s="229">
        <v>200</v>
      </c>
      <c r="J52" s="229">
        <v>500</v>
      </c>
      <c r="K52" s="229">
        <v>1000</v>
      </c>
      <c r="L52" s="229">
        <v>2000</v>
      </c>
      <c r="M52" s="229">
        <v>5000</v>
      </c>
      <c r="N52" s="229">
        <v>8000</v>
      </c>
      <c r="O52" s="229">
        <v>10000</v>
      </c>
      <c r="P52" s="237"/>
      <c r="Q52" s="250" t="e">
        <f>INDEX(E52:P52,MATCH(D51,E52:P52,1))</f>
        <v>#REF!</v>
      </c>
      <c r="R52" s="251" t="e">
        <f>INDEX(E52:P52,MATCH(D51,E52:P52,1)+1)</f>
        <v>#REF!</v>
      </c>
    </row>
    <row r="53" spans="1:18">
      <c r="A53" s="239"/>
      <c r="B53" s="224" t="e">
        <f>$B$5</f>
        <v>#REF!</v>
      </c>
      <c r="D53" s="232" t="e">
        <f>IF($D$51&lt;=$E$52,E53,ROUND(FORECAST($D$51,Q53:R53,$Q$52:$R$52),3))</f>
        <v>#REF!</v>
      </c>
      <c r="E53" s="233">
        <v>3.85</v>
      </c>
      <c r="F53" s="233">
        <v>3.33</v>
      </c>
      <c r="G53" s="233">
        <v>2.8</v>
      </c>
      <c r="H53" s="233">
        <v>2.54</v>
      </c>
      <c r="I53" s="233">
        <v>2.34</v>
      </c>
      <c r="J53" s="233">
        <v>1.98</v>
      </c>
      <c r="K53" s="233">
        <v>1.61</v>
      </c>
      <c r="L53" s="233">
        <v>1.36</v>
      </c>
      <c r="M53" s="233">
        <v>1.06</v>
      </c>
      <c r="N53" s="233">
        <v>0.82</v>
      </c>
      <c r="O53" s="233">
        <v>0.72</v>
      </c>
      <c r="P53" s="238"/>
      <c r="Q53" s="224" t="e">
        <f>INDEX(E53:O53,MATCH($D$51,$E$52:$O$52,1))</f>
        <v>#REF!</v>
      </c>
      <c r="R53" s="224" t="e">
        <f>INDEX(E53:O53,MATCH($D$51,$E$52:$O$52,1)+1)</f>
        <v>#REF!</v>
      </c>
    </row>
    <row r="54" spans="1:18">
      <c r="A54" s="240" t="e">
        <f>#REF!</f>
        <v>#REF!</v>
      </c>
      <c r="B54" s="224" t="e">
        <f>$B$6</f>
        <v>#REF!</v>
      </c>
      <c r="D54" s="232" t="e">
        <f>IF($D$51&lt;=$E$52,E54,ROUND(FORECAST($D$51,Q54:R54,$Q$52:$R$52),3))</f>
        <v>#REF!</v>
      </c>
      <c r="E54" s="233">
        <v>3.13</v>
      </c>
      <c r="F54" s="233">
        <v>2.9</v>
      </c>
      <c r="G54" s="233">
        <v>2.4300000000000002</v>
      </c>
      <c r="H54" s="233">
        <v>2.2400000000000002</v>
      </c>
      <c r="I54" s="233">
        <v>2.0299999999999998</v>
      </c>
      <c r="J54" s="233">
        <v>1.9</v>
      </c>
      <c r="K54" s="233">
        <v>1.66</v>
      </c>
      <c r="L54" s="233">
        <v>1.42</v>
      </c>
      <c r="M54" s="233">
        <v>1.04</v>
      </c>
      <c r="N54" s="233">
        <v>0.82</v>
      </c>
      <c r="O54" s="233">
        <v>0.72</v>
      </c>
      <c r="P54" s="238"/>
      <c r="Q54" s="224" t="e">
        <f>INDEX(E54:O54,MATCH($D$51,$E$52:$O$52,1))</f>
        <v>#REF!</v>
      </c>
      <c r="R54" s="224" t="e">
        <f>INDEX(E54:O54,MATCH($D$51,$E$52:$O$52,1)+1)</f>
        <v>#REF!</v>
      </c>
    </row>
    <row r="55" spans="1:18">
      <c r="A55" s="240"/>
      <c r="B55" s="224" t="e">
        <f>$B$7</f>
        <v>#REF!</v>
      </c>
      <c r="D55" s="232" t="e">
        <f>IF($D$51&lt;=$E$52,E55,ROUND(FORECAST($D$51,Q55:R55,$Q$52:$R$52),3))</f>
        <v>#REF!</v>
      </c>
      <c r="E55" s="233">
        <v>1.67</v>
      </c>
      <c r="F55" s="233">
        <v>1.55</v>
      </c>
      <c r="G55" s="233">
        <v>1.32</v>
      </c>
      <c r="H55" s="233">
        <v>1.2</v>
      </c>
      <c r="I55" s="233">
        <v>1.1000000000000001</v>
      </c>
      <c r="J55" s="233">
        <v>1.01</v>
      </c>
      <c r="K55" s="233">
        <v>0.85</v>
      </c>
      <c r="L55" s="233">
        <v>0.72</v>
      </c>
      <c r="M55" s="233">
        <v>0.56000000000000005</v>
      </c>
      <c r="N55" s="233">
        <v>0.42</v>
      </c>
      <c r="O55" s="233">
        <v>0.36</v>
      </c>
      <c r="P55" s="238"/>
      <c r="Q55" s="224" t="e">
        <f>INDEX(E55:O55,MATCH($D$51,$E$52:$O$52,1))</f>
        <v>#REF!</v>
      </c>
      <c r="R55" s="224" t="e">
        <f>INDEX(E55:O55,MATCH($D$51,$E$52:$O$52,1)+1)</f>
        <v>#REF!</v>
      </c>
    </row>
    <row r="56" spans="1:18">
      <c r="A56" s="240"/>
      <c r="B56" s="224" t="e">
        <f>$B$8</f>
        <v>#REF!</v>
      </c>
      <c r="D56" s="232" t="e">
        <f>IF($D$51&lt;=$E$52,E56,ROUND(FORECAST($D$51,Q56:R56,$Q$52:$R$52),3))</f>
        <v>#REF!</v>
      </c>
      <c r="E56" s="233">
        <v>3.53</v>
      </c>
      <c r="F56" s="233">
        <v>3.11</v>
      </c>
      <c r="G56" s="233">
        <v>2.62</v>
      </c>
      <c r="H56" s="233">
        <v>2.34</v>
      </c>
      <c r="I56" s="233">
        <v>2.15</v>
      </c>
      <c r="J56" s="233">
        <v>1.73</v>
      </c>
      <c r="K56" s="233">
        <v>1.48</v>
      </c>
      <c r="L56" s="233">
        <v>1.25</v>
      </c>
      <c r="M56" s="233">
        <v>0.96</v>
      </c>
      <c r="N56" s="233">
        <v>0.69</v>
      </c>
      <c r="O56" s="233">
        <v>0.57999999999999996</v>
      </c>
      <c r="P56" s="238"/>
      <c r="Q56" s="224" t="e">
        <f>INDEX(E56:O56,MATCH($D$51,$E$52:$O$52,1))</f>
        <v>#REF!</v>
      </c>
      <c r="R56" s="224" t="e">
        <f>INDEX(E56:O56,MATCH($D$51,$E$52:$O$52,1)+1)</f>
        <v>#REF!</v>
      </c>
    </row>
    <row r="57" spans="1:18">
      <c r="A57" s="240"/>
      <c r="B57" s="224" t="e">
        <f>$B$9</f>
        <v>#REF!</v>
      </c>
      <c r="D57" s="232" t="e">
        <f>IF($D$51&lt;=$E$52,E57,ROUND(FORECAST($D$51,Q57:R57,$Q$52:$R$52),3))</f>
        <v>#REF!</v>
      </c>
      <c r="E57" s="233">
        <v>2.68</v>
      </c>
      <c r="F57" s="233">
        <v>2.33</v>
      </c>
      <c r="G57" s="233">
        <v>1.97</v>
      </c>
      <c r="H57" s="233">
        <v>1.77</v>
      </c>
      <c r="I57" s="233">
        <v>1.58</v>
      </c>
      <c r="J57" s="233">
        <v>1.32</v>
      </c>
      <c r="K57" s="233">
        <v>1.1399999999999999</v>
      </c>
      <c r="L57" s="233">
        <v>0.92</v>
      </c>
      <c r="M57" s="233">
        <v>0.7</v>
      </c>
      <c r="N57" s="233">
        <v>0.51</v>
      </c>
      <c r="O57" s="233">
        <v>0.43</v>
      </c>
      <c r="P57" s="238"/>
      <c r="Q57" s="224" t="e">
        <f>INDEX(E57:O57,MATCH($D$51,$E$52:$O$52,1))</f>
        <v>#REF!</v>
      </c>
      <c r="R57" s="224" t="e">
        <f>INDEX(E57:O57,MATCH($D$51,$E$52:$O$52,1)+1)</f>
        <v>#REF!</v>
      </c>
    </row>
    <row r="58" spans="1:18">
      <c r="A58" s="225" t="s">
        <v>127</v>
      </c>
      <c r="B58" s="226" t="s">
        <v>130</v>
      </c>
    </row>
    <row r="59" spans="1:18">
      <c r="B59" s="226"/>
      <c r="C59" s="726" t="s">
        <v>116</v>
      </c>
      <c r="D59" s="249" t="e">
        <f>D51</f>
        <v>#REF!</v>
      </c>
      <c r="E59" s="227" t="s">
        <v>126</v>
      </c>
      <c r="F59" s="226"/>
      <c r="G59" s="226"/>
      <c r="H59" s="226"/>
      <c r="I59" s="226"/>
      <c r="J59" s="226"/>
      <c r="K59" s="226"/>
      <c r="L59" s="226"/>
      <c r="M59" s="226"/>
      <c r="N59" s="226"/>
      <c r="O59" s="226"/>
      <c r="P59" s="226"/>
    </row>
    <row r="60" spans="1:18">
      <c r="B60" s="228"/>
      <c r="C60" s="726"/>
      <c r="D60" s="228"/>
      <c r="E60" s="229">
        <v>10</v>
      </c>
      <c r="F60" s="229">
        <v>20</v>
      </c>
      <c r="G60" s="229">
        <v>50</v>
      </c>
      <c r="H60" s="229">
        <v>100</v>
      </c>
      <c r="I60" s="229">
        <v>200</v>
      </c>
      <c r="J60" s="229">
        <v>500</v>
      </c>
      <c r="K60" s="229">
        <v>1000</v>
      </c>
      <c r="L60" s="229">
        <v>2000</v>
      </c>
      <c r="M60" s="229">
        <v>5000</v>
      </c>
      <c r="N60" s="229">
        <v>8000</v>
      </c>
      <c r="O60" s="229">
        <v>10000</v>
      </c>
      <c r="P60" s="237"/>
      <c r="Q60" s="250" t="e">
        <f>INDEX(E60:P60,MATCH(D59,E60:P60,1))</f>
        <v>#REF!</v>
      </c>
      <c r="R60" s="251" t="e">
        <f>INDEX(E60:P60,MATCH(D59,E60:P60,1)+1)</f>
        <v>#REF!</v>
      </c>
    </row>
    <row r="61" spans="1:18">
      <c r="A61" s="239"/>
      <c r="B61" s="224" t="e">
        <f>$B$5</f>
        <v>#REF!</v>
      </c>
      <c r="D61" s="232" t="e">
        <f>IF($D$59&lt;=$E$60,E61,ROUND(FORECAST($D$59,Q61:R61,$Q$60:$R$60),3))</f>
        <v>#REF!</v>
      </c>
      <c r="E61" s="233">
        <v>3.41</v>
      </c>
      <c r="F61" s="233">
        <v>2.95</v>
      </c>
      <c r="G61" s="233">
        <v>2.48</v>
      </c>
      <c r="H61" s="233">
        <v>2.25</v>
      </c>
      <c r="I61" s="233">
        <v>2.0699999999999998</v>
      </c>
      <c r="J61" s="233">
        <v>1.75</v>
      </c>
      <c r="K61" s="233">
        <v>1.43</v>
      </c>
      <c r="L61" s="233">
        <v>1.2</v>
      </c>
      <c r="M61" s="233">
        <v>0.94</v>
      </c>
      <c r="N61" s="233">
        <v>0.72</v>
      </c>
      <c r="O61" s="233">
        <v>0.63</v>
      </c>
      <c r="P61" s="238"/>
      <c r="Q61" s="224" t="e">
        <f>INDEX(E61:O61,MATCH($D$59,$E$60:$O$60,1))</f>
        <v>#REF!</v>
      </c>
      <c r="R61" s="224" t="e">
        <f>INDEX(E61:O61,MATCH($D$59,$E$60:$O$60,1)+1)</f>
        <v>#REF!</v>
      </c>
    </row>
    <row r="62" spans="1:18">
      <c r="A62" s="240" t="e">
        <f>#REF!</f>
        <v>#REF!</v>
      </c>
      <c r="B62" s="224" t="e">
        <f>$B$6</f>
        <v>#REF!</v>
      </c>
      <c r="D62" s="232" t="e">
        <f>IF($D$59&lt;=$E$60,E62,ROUND(FORECAST($D$59,Q62:R62,$Q$60:$R$60),3))</f>
        <v>#REF!</v>
      </c>
      <c r="E62" s="233">
        <v>2.78</v>
      </c>
      <c r="F62" s="233">
        <v>2.57</v>
      </c>
      <c r="G62" s="233">
        <v>2.16</v>
      </c>
      <c r="H62" s="233">
        <v>1.99</v>
      </c>
      <c r="I62" s="233">
        <v>1.79</v>
      </c>
      <c r="J62" s="233">
        <v>1.68</v>
      </c>
      <c r="K62" s="233">
        <v>1.47</v>
      </c>
      <c r="L62" s="233">
        <v>1.25</v>
      </c>
      <c r="M62" s="233">
        <v>0.91</v>
      </c>
      <c r="N62" s="233">
        <v>0.72</v>
      </c>
      <c r="O62" s="233">
        <v>0.64</v>
      </c>
      <c r="P62" s="238"/>
      <c r="Q62" s="224" t="e">
        <f>INDEX(E62:O62,MATCH($D$59,$E$60:$O$60,1))</f>
        <v>#REF!</v>
      </c>
      <c r="R62" s="224" t="e">
        <f>INDEX(E62:O62,MATCH($D$59,$E$60:$O$60,1)+1)</f>
        <v>#REF!</v>
      </c>
    </row>
    <row r="63" spans="1:18">
      <c r="A63" s="240"/>
      <c r="B63" s="224" t="e">
        <f>$B$7</f>
        <v>#REF!</v>
      </c>
      <c r="D63" s="232" t="e">
        <f>IF($D$59&lt;=$E$60,E63,ROUND(FORECAST($D$59,Q63:R63,$Q$60:$R$60),3))</f>
        <v>#REF!</v>
      </c>
      <c r="E63" s="233">
        <v>1.48</v>
      </c>
      <c r="F63" s="233">
        <v>1.37</v>
      </c>
      <c r="G63" s="233">
        <v>1.17</v>
      </c>
      <c r="H63" s="233">
        <v>1.06</v>
      </c>
      <c r="I63" s="233">
        <v>0.97</v>
      </c>
      <c r="J63" s="233">
        <v>0.82</v>
      </c>
      <c r="K63" s="233">
        <v>0.7</v>
      </c>
      <c r="L63" s="233">
        <v>0.59</v>
      </c>
      <c r="M63" s="233">
        <v>0.45</v>
      </c>
      <c r="N63" s="233">
        <v>0.33</v>
      </c>
      <c r="O63" s="233">
        <v>0.28999999999999998</v>
      </c>
      <c r="P63" s="238"/>
      <c r="Q63" s="224" t="e">
        <f>INDEX(E63:O63,MATCH($D$59,$E$60:$O$60,1))</f>
        <v>#REF!</v>
      </c>
      <c r="R63" s="224" t="e">
        <f>INDEX(E63:O63,MATCH($D$59,$E$60:$O$60,1)+1)</f>
        <v>#REF!</v>
      </c>
    </row>
    <row r="64" spans="1:18">
      <c r="A64" s="240"/>
      <c r="B64" s="224" t="e">
        <f>$B$8</f>
        <v>#REF!</v>
      </c>
      <c r="D64" s="232" t="e">
        <f>IF($D$59&lt;=$E$60,E64,ROUND(FORECAST($D$59,Q64:R64,$Q$60:$R$60),3))</f>
        <v>#REF!</v>
      </c>
      <c r="E64" s="233">
        <v>3.13</v>
      </c>
      <c r="F64" s="233">
        <v>2.76</v>
      </c>
      <c r="G64" s="233">
        <v>2.31</v>
      </c>
      <c r="H64" s="233">
        <v>2.0699999999999998</v>
      </c>
      <c r="I64" s="233">
        <v>1.79</v>
      </c>
      <c r="J64" s="233">
        <v>1.52</v>
      </c>
      <c r="K64" s="233">
        <v>1.29</v>
      </c>
      <c r="L64" s="233">
        <v>1.1000000000000001</v>
      </c>
      <c r="M64" s="233">
        <v>0.83</v>
      </c>
      <c r="N64" s="233">
        <v>0.6</v>
      </c>
      <c r="O64" s="233">
        <v>0.51</v>
      </c>
      <c r="P64" s="238"/>
      <c r="Q64" s="224" t="e">
        <f>INDEX(E64:O64,MATCH($D$59,$E$60:$O$60,1))</f>
        <v>#REF!</v>
      </c>
      <c r="R64" s="224" t="e">
        <f>INDEX(E64:O64,MATCH($D$59,$E$60:$O$60,1)+1)</f>
        <v>#REF!</v>
      </c>
    </row>
    <row r="65" spans="1:18">
      <c r="A65" s="240"/>
      <c r="B65" s="224" t="e">
        <f>$B$9</f>
        <v>#REF!</v>
      </c>
      <c r="D65" s="232" t="e">
        <f>IF($D$59&lt;=$E$60,E65,ROUND(FORECAST($D$59,Q65:R65,$Q$60:$R$60),3))</f>
        <v>#REF!</v>
      </c>
      <c r="E65" s="233">
        <v>2.36</v>
      </c>
      <c r="F65" s="233">
        <v>2.0099999999999998</v>
      </c>
      <c r="G65" s="233">
        <v>1.72</v>
      </c>
      <c r="H65" s="233">
        <v>1.55</v>
      </c>
      <c r="I65" s="233">
        <v>1.39</v>
      </c>
      <c r="J65" s="233">
        <v>1.1599999999999999</v>
      </c>
      <c r="K65" s="233">
        <v>1.02</v>
      </c>
      <c r="L65" s="233">
        <v>0.81</v>
      </c>
      <c r="M65" s="233">
        <v>0.61</v>
      </c>
      <c r="N65" s="233">
        <v>0.44</v>
      </c>
      <c r="O65" s="233">
        <v>0.36</v>
      </c>
      <c r="P65" s="238"/>
      <c r="Q65" s="224" t="e">
        <f>INDEX(E65:O65,MATCH($D$59,$E$60:$O$60,1))</f>
        <v>#REF!</v>
      </c>
      <c r="R65" s="224" t="e">
        <f>INDEX(E65:O65,MATCH($D$59,$E$60:$O$60,1)+1)</f>
        <v>#REF!</v>
      </c>
    </row>
    <row r="66" spans="1:18">
      <c r="A66" s="225" t="s">
        <v>127</v>
      </c>
      <c r="B66" s="226" t="s">
        <v>131</v>
      </c>
    </row>
    <row r="67" spans="1:18">
      <c r="B67" s="226"/>
      <c r="C67" s="726" t="s">
        <v>116</v>
      </c>
      <c r="D67" s="249" t="e">
        <f>D59</f>
        <v>#REF!</v>
      </c>
      <c r="E67" s="227" t="s">
        <v>126</v>
      </c>
      <c r="F67" s="226"/>
      <c r="G67" s="226"/>
      <c r="H67" s="226"/>
      <c r="I67" s="226"/>
      <c r="J67" s="226"/>
      <c r="K67" s="226"/>
      <c r="L67" s="226"/>
      <c r="M67" s="226"/>
      <c r="N67" s="226"/>
      <c r="O67" s="226"/>
      <c r="P67" s="226"/>
    </row>
    <row r="68" spans="1:18">
      <c r="B68" s="228"/>
      <c r="C68" s="726"/>
      <c r="D68" s="228"/>
      <c r="E68" s="229">
        <v>10</v>
      </c>
      <c r="F68" s="229">
        <v>20</v>
      </c>
      <c r="G68" s="229">
        <v>50</v>
      </c>
      <c r="H68" s="229">
        <v>100</v>
      </c>
      <c r="I68" s="229">
        <v>200</v>
      </c>
      <c r="J68" s="229">
        <v>500</v>
      </c>
      <c r="K68" s="237"/>
      <c r="L68" s="237"/>
      <c r="M68" s="237"/>
      <c r="N68" s="237"/>
      <c r="O68" s="237"/>
      <c r="P68" s="237"/>
      <c r="Q68" s="250" t="e">
        <f>INDEX(E68:J68,MATCH(D67,E68:J68,1))</f>
        <v>#REF!</v>
      </c>
      <c r="R68" s="251" t="e">
        <f>INDEX(E68:J68,MATCH(D67,E68:J68,1)+1)</f>
        <v>#REF!</v>
      </c>
    </row>
    <row r="69" spans="1:18">
      <c r="A69" s="239"/>
      <c r="B69" s="224" t="e">
        <f>$B$5</f>
        <v>#REF!</v>
      </c>
      <c r="D69" s="232" t="e">
        <f>IF($D$67&lt;=$E$68,E69,ROUND(FORECAST($D$67,Q69:R69,$Q$68:$R$68),3))</f>
        <v>#REF!</v>
      </c>
      <c r="E69" s="233">
        <v>2.92</v>
      </c>
      <c r="F69" s="233">
        <v>2.5499999999999998</v>
      </c>
      <c r="G69" s="233">
        <v>2.12</v>
      </c>
      <c r="H69" s="233">
        <v>1.86</v>
      </c>
      <c r="I69" s="233">
        <v>1.51</v>
      </c>
      <c r="J69" s="233">
        <v>1.3</v>
      </c>
      <c r="K69" s="238"/>
      <c r="L69" s="238"/>
      <c r="M69" s="238"/>
      <c r="N69" s="238"/>
      <c r="O69" s="238"/>
      <c r="P69" s="238"/>
      <c r="Q69" s="224" t="e">
        <f>INDEX(E69:J69,MATCH($D$67,$E$68:$J$68,1))</f>
        <v>#REF!</v>
      </c>
      <c r="R69" s="224" t="e">
        <f>INDEX(E69:J69,MATCH($D$67,$E$68:$J$68,1)+1)</f>
        <v>#REF!</v>
      </c>
    </row>
    <row r="70" spans="1:18">
      <c r="A70" s="240" t="e">
        <f>#REF!</f>
        <v>#REF!</v>
      </c>
      <c r="B70" s="224" t="e">
        <f>$B$6</f>
        <v>#REF!</v>
      </c>
      <c r="D70" s="232" t="e">
        <f>IF($D$67&lt;=$E$68,E70,ROUND(FORECAST($D$67,Q70:R70,$Q$68:$R$68),3))</f>
        <v>#REF!</v>
      </c>
      <c r="E70" s="233">
        <v>2.46</v>
      </c>
      <c r="F70" s="233">
        <v>2.25</v>
      </c>
      <c r="G70" s="233">
        <v>1.89</v>
      </c>
      <c r="H70" s="233">
        <v>1.72</v>
      </c>
      <c r="I70" s="233">
        <v>1.47</v>
      </c>
      <c r="J70" s="233">
        <v>1.22</v>
      </c>
      <c r="K70" s="238"/>
      <c r="L70" s="238"/>
      <c r="M70" s="238"/>
      <c r="N70" s="238"/>
      <c r="O70" s="238"/>
      <c r="P70" s="238"/>
      <c r="Q70" s="224" t="e">
        <f>INDEX(E70:J70,MATCH($D$67,$E$68:$J$68,1))</f>
        <v>#REF!</v>
      </c>
      <c r="R70" s="224" t="e">
        <f>INDEX(E70:J70,MATCH($D$67,$E$68:$J$68,1)+1)</f>
        <v>#REF!</v>
      </c>
    </row>
    <row r="71" spans="1:18">
      <c r="A71" s="240"/>
      <c r="B71" s="224" t="e">
        <f>$B$7</f>
        <v>#REF!</v>
      </c>
      <c r="D71" s="232" t="e">
        <f>IF($D$67&lt;=$E$68,E71,ROUND(FORECAST($D$67,Q71:R71,$Q$68:$R$68),3))</f>
        <v>#REF!</v>
      </c>
      <c r="E71" s="233">
        <v>1.37</v>
      </c>
      <c r="F71" s="233">
        <v>1.26</v>
      </c>
      <c r="G71" s="233">
        <v>1.08</v>
      </c>
      <c r="H71" s="233">
        <v>0.98</v>
      </c>
      <c r="I71" s="233">
        <v>0.83</v>
      </c>
      <c r="J71" s="233">
        <v>0.71</v>
      </c>
      <c r="K71" s="238"/>
      <c r="L71" s="238"/>
      <c r="M71" s="238"/>
      <c r="N71" s="238"/>
      <c r="O71" s="238"/>
      <c r="P71" s="238"/>
      <c r="Q71" s="224" t="e">
        <f>INDEX(E71:J71,MATCH($D$67,$E$68:$J$68,1))</f>
        <v>#REF!</v>
      </c>
      <c r="R71" s="224" t="e">
        <f>INDEX(E71:J71,MATCH($D$67,$E$68:$J$68,1)+1)</f>
        <v>#REF!</v>
      </c>
    </row>
    <row r="72" spans="1:18">
      <c r="A72" s="240"/>
      <c r="B72" s="224" t="e">
        <f>$B$8</f>
        <v>#REF!</v>
      </c>
      <c r="D72" s="232" t="e">
        <f>IF($D$67&lt;=$E$68,E72,ROUND(FORECAST($D$67,Q72:R72,$Q$68:$R$68),3))</f>
        <v>#REF!</v>
      </c>
      <c r="E72" s="233">
        <v>2.48</v>
      </c>
      <c r="F72" s="233">
        <v>2.19</v>
      </c>
      <c r="G72" s="233">
        <v>1.82</v>
      </c>
      <c r="H72" s="233">
        <v>1.61</v>
      </c>
      <c r="I72" s="233">
        <v>1.41</v>
      </c>
      <c r="J72" s="233">
        <v>1.1399999999999999</v>
      </c>
      <c r="K72" s="238"/>
      <c r="L72" s="238"/>
      <c r="M72" s="238"/>
      <c r="N72" s="238"/>
      <c r="O72" s="238"/>
      <c r="P72" s="238"/>
      <c r="Q72" s="224" t="e">
        <f>INDEX(E72:J72,MATCH($D$67,$E$68:$J$68,1))</f>
        <v>#REF!</v>
      </c>
      <c r="R72" s="224" t="e">
        <f>INDEX(E72:J72,MATCH($D$67,$E$68:$J$68,1)+1)</f>
        <v>#REF!</v>
      </c>
    </row>
    <row r="73" spans="1:18">
      <c r="A73" s="240"/>
      <c r="B73" s="224" t="e">
        <f>$B$9</f>
        <v>#REF!</v>
      </c>
      <c r="D73" s="232" t="e">
        <f>IF($D$67&lt;=$E$68,E73,ROUND(FORECAST($D$67,Q73:R73,$Q$68:$R$68),3))</f>
        <v>#REF!</v>
      </c>
      <c r="E73" s="233">
        <v>2.0699999999999998</v>
      </c>
      <c r="F73" s="233">
        <v>1.76</v>
      </c>
      <c r="G73" s="233">
        <v>1.49</v>
      </c>
      <c r="H73" s="233">
        <v>1.35</v>
      </c>
      <c r="I73" s="233">
        <v>1.1499999999999999</v>
      </c>
      <c r="J73" s="233">
        <v>0.98</v>
      </c>
      <c r="K73" s="238"/>
      <c r="L73" s="238"/>
      <c r="M73" s="238"/>
      <c r="N73" s="238"/>
      <c r="O73" s="238"/>
      <c r="P73" s="238"/>
      <c r="Q73" s="224" t="e">
        <f>INDEX(E73:J73,MATCH($D$67,$E$68:$J$68,1))</f>
        <v>#REF!</v>
      </c>
      <c r="R73" s="224" t="e">
        <f>INDEX(E73:J73,MATCH($D$67,$E$68:$J$68,1)+1)</f>
        <v>#REF!</v>
      </c>
    </row>
    <row r="74" spans="1:18">
      <c r="A74" s="225" t="s">
        <v>132</v>
      </c>
      <c r="B74" s="226" t="s">
        <v>133</v>
      </c>
    </row>
    <row r="75" spans="1:18">
      <c r="B75" s="226"/>
      <c r="C75" s="726" t="s">
        <v>116</v>
      </c>
      <c r="D75" s="249" t="e">
        <f>D3</f>
        <v>#REF!</v>
      </c>
      <c r="E75" s="227" t="s">
        <v>117</v>
      </c>
      <c r="F75" s="226"/>
      <c r="G75" s="226"/>
      <c r="H75" s="226"/>
      <c r="I75" s="226"/>
      <c r="J75" s="226"/>
      <c r="K75" s="226"/>
      <c r="L75" s="226"/>
      <c r="M75" s="226"/>
      <c r="N75" s="226"/>
      <c r="O75" s="226"/>
      <c r="P75" s="226"/>
    </row>
    <row r="76" spans="1:18">
      <c r="B76" s="228"/>
      <c r="C76" s="726"/>
      <c r="D76" s="228"/>
      <c r="E76" s="229">
        <v>15</v>
      </c>
      <c r="F76" s="229">
        <v>20</v>
      </c>
      <c r="G76" s="229">
        <v>50</v>
      </c>
      <c r="H76" s="229">
        <v>100</v>
      </c>
      <c r="I76" s="229">
        <v>200</v>
      </c>
      <c r="J76" s="229">
        <v>500</v>
      </c>
      <c r="K76" s="229">
        <v>1000</v>
      </c>
      <c r="L76" s="229">
        <v>2000</v>
      </c>
      <c r="M76" s="229">
        <v>5000</v>
      </c>
      <c r="N76" s="229">
        <v>10000</v>
      </c>
      <c r="O76" s="229">
        <v>20000</v>
      </c>
      <c r="P76" s="229">
        <v>30000</v>
      </c>
      <c r="Q76" s="250" t="e">
        <f>INDEX(E76:P76,MATCH(D75,E76:P76,1))</f>
        <v>#REF!</v>
      </c>
      <c r="R76" s="251" t="e">
        <f>INDEX(E76:P76,MATCH(D75,E76:P76,1)+1)</f>
        <v>#REF!</v>
      </c>
    </row>
    <row r="77" spans="1:18">
      <c r="A77" s="230"/>
      <c r="B77" s="224" t="e">
        <f>$B$5</f>
        <v>#REF!</v>
      </c>
      <c r="D77" s="232" t="e">
        <f>IF($D$75&lt;=$E$76,"Lập báo cáo KTKT",ROUND(FORECAST($D$75,Q77:R77,$Q$76:$R$76),3))</f>
        <v>#REF!</v>
      </c>
      <c r="E77" s="233">
        <v>7.0999999999999994E-2</v>
      </c>
      <c r="F77" s="233">
        <v>5.8999999999999997E-2</v>
      </c>
      <c r="G77" s="233">
        <v>4.8000000000000001E-2</v>
      </c>
      <c r="H77" s="233">
        <v>3.4000000000000002E-2</v>
      </c>
      <c r="I77" s="233">
        <v>2.5000000000000001E-2</v>
      </c>
      <c r="J77" s="233">
        <v>1.6E-2</v>
      </c>
      <c r="K77" s="233">
        <v>1.4E-2</v>
      </c>
      <c r="L77" s="233">
        <v>1.2E-2</v>
      </c>
      <c r="M77" s="233">
        <v>8.9999999999999993E-3</v>
      </c>
      <c r="N77" s="233">
        <v>7.0000000000000001E-3</v>
      </c>
      <c r="O77" s="233">
        <v>5.0000000000000001E-3</v>
      </c>
      <c r="P77" s="233">
        <v>4.0000000000000001E-3</v>
      </c>
      <c r="Q77" s="224" t="e">
        <f>INDEX(E77:P77,MATCH($D$75,$E$76:$P$76,1))</f>
        <v>#REF!</v>
      </c>
      <c r="R77" s="224" t="e">
        <f>INDEX(E77:P77,MATCH($D$75,$E$76:$P$76,1)+1)</f>
        <v>#REF!</v>
      </c>
    </row>
    <row r="78" spans="1:18">
      <c r="A78" s="234"/>
      <c r="B78" s="224" t="e">
        <f>$B$6</f>
        <v>#REF!</v>
      </c>
      <c r="D78" s="232" t="e">
        <f>IF($D$75&lt;=$E$76,"Lập báo cáo KTKT",ROUND(FORECAST($D$75,Q78:R78,$Q$76:$R$76),3))</f>
        <v>#REF!</v>
      </c>
      <c r="E78" s="233">
        <v>9.8000000000000004E-2</v>
      </c>
      <c r="F78" s="233">
        <v>8.3000000000000004E-2</v>
      </c>
      <c r="G78" s="233">
        <v>6.7000000000000004E-2</v>
      </c>
      <c r="H78" s="233">
        <v>4.9000000000000002E-2</v>
      </c>
      <c r="I78" s="233">
        <v>3.6999999999999998E-2</v>
      </c>
      <c r="J78" s="233">
        <v>2.8000000000000001E-2</v>
      </c>
      <c r="K78" s="233">
        <v>2.5000000000000001E-2</v>
      </c>
      <c r="L78" s="233">
        <v>0.02</v>
      </c>
      <c r="M78" s="233">
        <v>1.4999999999999999E-2</v>
      </c>
      <c r="N78" s="233">
        <v>0.01</v>
      </c>
      <c r="O78" s="233">
        <v>7.0000000000000001E-3</v>
      </c>
      <c r="P78" s="233">
        <v>5.0000000000000001E-3</v>
      </c>
      <c r="Q78" s="224" t="e">
        <f>INDEX(E78:P78,MATCH($D$75,$E$76:$P$76,1))</f>
        <v>#REF!</v>
      </c>
      <c r="R78" s="224" t="e">
        <f>INDEX(E78:P78,MATCH($D$75,$E$76:$P$76,1)+1)</f>
        <v>#REF!</v>
      </c>
    </row>
    <row r="79" spans="1:18">
      <c r="A79" s="235"/>
      <c r="B79" s="224" t="e">
        <f>$B$7</f>
        <v>#REF!</v>
      </c>
      <c r="D79" s="232" t="e">
        <f>IF($D$75&lt;=$E$76,"Lập báo cáo KTKT",ROUND(FORECAST($D$75,Q79:R79,$Q$76:$R$76),3))</f>
        <v>#REF!</v>
      </c>
      <c r="E79" s="233">
        <v>5.3999999999999999E-2</v>
      </c>
      <c r="F79" s="233">
        <v>4.9000000000000002E-2</v>
      </c>
      <c r="G79" s="233">
        <v>3.9E-2</v>
      </c>
      <c r="H79" s="233">
        <v>0.03</v>
      </c>
      <c r="I79" s="233">
        <v>0.02</v>
      </c>
      <c r="J79" s="233">
        <v>1.2999999999999999E-2</v>
      </c>
      <c r="K79" s="233">
        <v>1.0999999999999999E-2</v>
      </c>
      <c r="L79" s="233">
        <v>8.9999999999999993E-3</v>
      </c>
      <c r="M79" s="233">
        <v>7.0000000000000001E-3</v>
      </c>
      <c r="N79" s="233">
        <v>5.0000000000000001E-3</v>
      </c>
      <c r="O79" s="233">
        <v>4.0000000000000001E-3</v>
      </c>
      <c r="P79" s="233">
        <v>3.0000000000000001E-3</v>
      </c>
      <c r="Q79" s="224" t="e">
        <f>INDEX(E79:P79,MATCH($D$75,$E$76:$P$76,1))</f>
        <v>#REF!</v>
      </c>
      <c r="R79" s="224" t="e">
        <f>INDEX(E79:P79,MATCH($D$75,$E$76:$P$76,1)+1)</f>
        <v>#REF!</v>
      </c>
    </row>
    <row r="80" spans="1:18">
      <c r="A80" s="234"/>
      <c r="B80" s="224" t="e">
        <f>$B$8</f>
        <v>#REF!</v>
      </c>
      <c r="D80" s="232" t="e">
        <f>IF($D$75&lt;=$E$76,"Lập báo cáo KTKT",ROUND(FORECAST($D$75,Q80:R80,$Q$76:$R$76),3))</f>
        <v>#REF!</v>
      </c>
      <c r="E80" s="233">
        <v>6.4000000000000001E-2</v>
      </c>
      <c r="F80" s="233">
        <v>5.8000000000000003E-2</v>
      </c>
      <c r="G80" s="233">
        <v>4.7E-2</v>
      </c>
      <c r="H80" s="233">
        <v>3.3000000000000002E-2</v>
      </c>
      <c r="I80" s="233">
        <v>2.4E-2</v>
      </c>
      <c r="J80" s="233">
        <v>1.4999999999999999E-2</v>
      </c>
      <c r="K80" s="233">
        <v>1.2999999999999999E-2</v>
      </c>
      <c r="L80" s="233">
        <v>1.0999999999999999E-2</v>
      </c>
      <c r="M80" s="233">
        <v>8.9999999999999993E-3</v>
      </c>
      <c r="N80" s="233">
        <v>6.0000000000000001E-3</v>
      </c>
      <c r="O80" s="233">
        <v>5.0000000000000001E-3</v>
      </c>
      <c r="P80" s="233">
        <v>4.0000000000000001E-3</v>
      </c>
      <c r="Q80" s="224" t="e">
        <f>INDEX(E80:P80,MATCH($D$75,$E$76:$P$76,1))</f>
        <v>#REF!</v>
      </c>
      <c r="R80" s="224" t="e">
        <f>INDEX(E80:P80,MATCH($D$75,$E$76:$P$76,1)+1)</f>
        <v>#REF!</v>
      </c>
    </row>
    <row r="81" spans="1:18">
      <c r="A81" s="236"/>
      <c r="B81" s="224" t="e">
        <f>$B$9</f>
        <v>#REF!</v>
      </c>
      <c r="D81" s="232" t="e">
        <f>IF($D$75&lt;=$E$76,"Lập báo cáo KTKT",ROUND(FORECAST($D$75,Q81:R81,$Q$76:$R$76),3))</f>
        <v>#REF!</v>
      </c>
      <c r="E81" s="233">
        <v>5.6000000000000001E-2</v>
      </c>
      <c r="F81" s="233">
        <v>5.0999999999999997E-2</v>
      </c>
      <c r="G81" s="233">
        <v>4.1000000000000002E-2</v>
      </c>
      <c r="H81" s="233">
        <v>3.2000000000000001E-2</v>
      </c>
      <c r="I81" s="233">
        <v>2.1000000000000001E-2</v>
      </c>
      <c r="J81" s="233">
        <v>1.2999999999999999E-2</v>
      </c>
      <c r="K81" s="233">
        <v>1.2E-2</v>
      </c>
      <c r="L81" s="233">
        <v>0.01</v>
      </c>
      <c r="M81" s="233">
        <v>8.0000000000000002E-3</v>
      </c>
      <c r="N81" s="233">
        <v>5.0000000000000001E-3</v>
      </c>
      <c r="O81" s="233">
        <v>4.0000000000000001E-3</v>
      </c>
      <c r="P81" s="233">
        <v>3.0000000000000001E-3</v>
      </c>
      <c r="Q81" s="224" t="e">
        <f>INDEX(E81:P81,MATCH($D$75,$E$76:$P$76,1))</f>
        <v>#REF!</v>
      </c>
      <c r="R81" s="224" t="e">
        <f>INDEX(E81:P81,MATCH($D$75,$E$76:$P$76,1)+1)</f>
        <v>#REF!</v>
      </c>
    </row>
    <row r="82" spans="1:18">
      <c r="A82" s="225" t="s">
        <v>134</v>
      </c>
      <c r="B82" s="226" t="s">
        <v>135</v>
      </c>
    </row>
    <row r="83" spans="1:18">
      <c r="B83" s="226"/>
      <c r="C83" s="726" t="s">
        <v>116</v>
      </c>
      <c r="D83" s="249" t="e">
        <f>D3</f>
        <v>#REF!</v>
      </c>
      <c r="E83" s="227" t="s">
        <v>117</v>
      </c>
      <c r="F83" s="226"/>
      <c r="G83" s="226"/>
      <c r="H83" s="226"/>
      <c r="I83" s="226"/>
      <c r="J83" s="226"/>
      <c r="K83" s="226"/>
      <c r="L83" s="226"/>
      <c r="M83" s="226"/>
      <c r="N83" s="226"/>
      <c r="O83" s="226"/>
      <c r="P83" s="226"/>
    </row>
    <row r="84" spans="1:18">
      <c r="B84" s="228"/>
      <c r="C84" s="726"/>
      <c r="D84" s="228"/>
      <c r="E84" s="229">
        <v>15</v>
      </c>
      <c r="F84" s="229">
        <v>20</v>
      </c>
      <c r="G84" s="229">
        <v>50</v>
      </c>
      <c r="H84" s="229">
        <v>100</v>
      </c>
      <c r="I84" s="229">
        <v>200</v>
      </c>
      <c r="J84" s="229">
        <v>500</v>
      </c>
      <c r="K84" s="229">
        <v>1000</v>
      </c>
      <c r="L84" s="229">
        <v>2000</v>
      </c>
      <c r="M84" s="229">
        <v>5000</v>
      </c>
      <c r="N84" s="229">
        <v>10000</v>
      </c>
      <c r="O84" s="229">
        <v>20000</v>
      </c>
      <c r="P84" s="229">
        <v>30000</v>
      </c>
      <c r="Q84" s="250" t="e">
        <f>INDEX(E84:P84,MATCH(D83,E84:P84,1))</f>
        <v>#REF!</v>
      </c>
      <c r="R84" s="251" t="e">
        <f>INDEX(E84:P84,MATCH(D83,E84:P84,1)+1)</f>
        <v>#REF!</v>
      </c>
    </row>
    <row r="85" spans="1:18">
      <c r="A85" s="230"/>
      <c r="B85" s="224" t="e">
        <f>$B$5</f>
        <v>#REF!</v>
      </c>
      <c r="D85" s="232" t="e">
        <f>IF($D$83&lt;=$E$84,"Lập báo cáo KTKT",ROUND(FORECAST($D$83,Q85:R85,$Q$84:$R$84),3))</f>
        <v>#REF!</v>
      </c>
      <c r="E85" s="233">
        <v>0.20399999999999999</v>
      </c>
      <c r="F85" s="233">
        <v>0.16800000000000001</v>
      </c>
      <c r="G85" s="233">
        <v>0.13800000000000001</v>
      </c>
      <c r="H85" s="233">
        <v>9.7000000000000003E-2</v>
      </c>
      <c r="I85" s="233">
        <v>7.0000000000000007E-2</v>
      </c>
      <c r="J85" s="233">
        <v>4.5999999999999999E-2</v>
      </c>
      <c r="K85" s="233">
        <v>4.1000000000000002E-2</v>
      </c>
      <c r="L85" s="233">
        <v>3.4000000000000002E-2</v>
      </c>
      <c r="M85" s="233">
        <v>2.5999999999999999E-2</v>
      </c>
      <c r="N85" s="233">
        <v>1.9E-2</v>
      </c>
      <c r="O85" s="233">
        <v>1.4999999999999999E-2</v>
      </c>
      <c r="P85" s="233">
        <v>1.2E-2</v>
      </c>
      <c r="Q85" s="224" t="e">
        <f>INDEX(E85:P85,MATCH($D$83,$E$84:$P$84,1))</f>
        <v>#REF!</v>
      </c>
      <c r="R85" s="224" t="e">
        <f>INDEX(E85:P85,MATCH($D$83,$E$84:$P$84,1)+1)</f>
        <v>#REF!</v>
      </c>
    </row>
    <row r="86" spans="1:18">
      <c r="A86" s="234"/>
      <c r="B86" s="224" t="e">
        <f>$B$6</f>
        <v>#REF!</v>
      </c>
      <c r="D86" s="232" t="e">
        <f>IF($D$83&lt;=$E$84,"Lập báo cáo KTKT",ROUND(FORECAST($D$83,Q86:R86,$Q$84:$R$84),3))</f>
        <v>#REF!</v>
      </c>
      <c r="E86" s="233">
        <v>0.28100000000000003</v>
      </c>
      <c r="F86" s="233">
        <v>0.23799999999999999</v>
      </c>
      <c r="G86" s="233">
        <v>0.19</v>
      </c>
      <c r="H86" s="233">
        <v>0.14099999999999999</v>
      </c>
      <c r="I86" s="233">
        <v>0.107</v>
      </c>
      <c r="J86" s="233">
        <v>0.08</v>
      </c>
      <c r="K86" s="233">
        <v>7.0000000000000007E-2</v>
      </c>
      <c r="L86" s="233">
        <v>5.6000000000000001E-2</v>
      </c>
      <c r="M86" s="233">
        <v>4.3999999999999997E-2</v>
      </c>
      <c r="N86" s="233">
        <v>2.9000000000000001E-2</v>
      </c>
      <c r="O86" s="233">
        <v>0.02</v>
      </c>
      <c r="P86" s="233">
        <v>1.4999999999999999E-2</v>
      </c>
      <c r="Q86" s="224" t="e">
        <f>INDEX(E86:P86,MATCH($D$83,$E$84:$P$84,1))</f>
        <v>#REF!</v>
      </c>
      <c r="R86" s="224" t="e">
        <f>INDEX(E86:P86,MATCH($D$83,$E$84:$P$84,1)+1)</f>
        <v>#REF!</v>
      </c>
    </row>
    <row r="87" spans="1:18">
      <c r="A87" s="235"/>
      <c r="B87" s="224" t="e">
        <f>$B$7</f>
        <v>#REF!</v>
      </c>
      <c r="D87" s="232" t="e">
        <f>IF($D$83&lt;=$E$84,"Lập báo cáo KTKT",ROUND(FORECAST($D$83,Q87:R87,$Q$84:$R$84),3))</f>
        <v>#REF!</v>
      </c>
      <c r="E87" s="233">
        <v>0.153</v>
      </c>
      <c r="F87" s="233">
        <v>0.13900000000000001</v>
      </c>
      <c r="G87" s="233">
        <v>0.112</v>
      </c>
      <c r="H87" s="233">
        <v>8.6999999999999994E-2</v>
      </c>
      <c r="I87" s="233">
        <v>5.8000000000000003E-2</v>
      </c>
      <c r="J87" s="233">
        <v>3.5999999999999997E-2</v>
      </c>
      <c r="K87" s="233">
        <v>3.2000000000000001E-2</v>
      </c>
      <c r="L87" s="233">
        <v>2.5999999999999999E-2</v>
      </c>
      <c r="M87" s="233">
        <v>0.02</v>
      </c>
      <c r="N87" s="233">
        <v>1.4E-2</v>
      </c>
      <c r="O87" s="233">
        <v>0.01</v>
      </c>
      <c r="P87" s="233">
        <v>8.9999999999999993E-3</v>
      </c>
      <c r="Q87" s="224" t="e">
        <f>INDEX(E87:P87,MATCH($D$83,$E$84:$P$84,1))</f>
        <v>#REF!</v>
      </c>
      <c r="R87" s="224" t="e">
        <f>INDEX(E87:P87,MATCH($D$83,$E$84:$P$84,1)+1)</f>
        <v>#REF!</v>
      </c>
    </row>
    <row r="88" spans="1:18">
      <c r="A88" s="234"/>
      <c r="B88" s="224" t="e">
        <f>$B$8</f>
        <v>#REF!</v>
      </c>
      <c r="D88" s="232" t="e">
        <f>IF($D$83&lt;=$E$84,"Lập báo cáo KTKT",ROUND(FORECAST($D$83,Q88:R88,$Q$84:$R$84),3))</f>
        <v>#REF!</v>
      </c>
      <c r="E88" s="233">
        <v>0.182</v>
      </c>
      <c r="F88" s="233">
        <v>0.16700000000000001</v>
      </c>
      <c r="G88" s="233">
        <v>0.13300000000000001</v>
      </c>
      <c r="H88" s="233">
        <v>9.4E-2</v>
      </c>
      <c r="I88" s="233">
        <v>6.8000000000000005E-2</v>
      </c>
      <c r="J88" s="233">
        <v>4.3999999999999997E-2</v>
      </c>
      <c r="K88" s="233">
        <v>3.6999999999999998E-2</v>
      </c>
      <c r="L88" s="233">
        <v>3.2000000000000001E-2</v>
      </c>
      <c r="M88" s="233">
        <v>2.5999999999999999E-2</v>
      </c>
      <c r="N88" s="233">
        <v>1.7000000000000001E-2</v>
      </c>
      <c r="O88" s="233">
        <v>1.4E-2</v>
      </c>
      <c r="P88" s="233">
        <v>0.01</v>
      </c>
      <c r="Q88" s="224" t="e">
        <f>INDEX(E88:P88,MATCH($D$83,$E$84:$P$84,1))</f>
        <v>#REF!</v>
      </c>
      <c r="R88" s="224" t="e">
        <f>INDEX(E88:P88,MATCH($D$83,$E$84:$P$84,1)+1)</f>
        <v>#REF!</v>
      </c>
    </row>
    <row r="89" spans="1:18">
      <c r="A89" s="236"/>
      <c r="B89" s="224" t="e">
        <f>$B$9</f>
        <v>#REF!</v>
      </c>
      <c r="D89" s="232" t="e">
        <f>IF($D$83&lt;=$E$84,"Lập báo cáo KTKT",ROUND(FORECAST($D$83,Q89:R89,$Q$84:$R$84),3))</f>
        <v>#REF!</v>
      </c>
      <c r="E89" s="233">
        <v>0.16</v>
      </c>
      <c r="F89" s="233">
        <v>0.14499999999999999</v>
      </c>
      <c r="G89" s="233">
        <v>0.11600000000000001</v>
      </c>
      <c r="H89" s="233">
        <v>9.1999999999999998E-2</v>
      </c>
      <c r="I89" s="233">
        <v>0.06</v>
      </c>
      <c r="J89" s="233">
        <v>3.6999999999999998E-2</v>
      </c>
      <c r="K89" s="233">
        <v>3.4000000000000002E-2</v>
      </c>
      <c r="L89" s="233">
        <v>2.9000000000000001E-2</v>
      </c>
      <c r="M89" s="233">
        <v>2.1999999999999999E-2</v>
      </c>
      <c r="N89" s="233">
        <v>1.4999999999999999E-2</v>
      </c>
      <c r="O89" s="233">
        <v>0.01</v>
      </c>
      <c r="P89" s="233">
        <v>8.9999999999999993E-3</v>
      </c>
      <c r="Q89" s="224" t="e">
        <f>INDEX(E89:P89,MATCH($D$83,$E$84:$P$84,1))</f>
        <v>#REF!</v>
      </c>
      <c r="R89" s="224" t="e">
        <f>INDEX(E89:P89,MATCH($D$83,$E$84:$P$84,1)+1)</f>
        <v>#REF!</v>
      </c>
    </row>
    <row r="90" spans="1:18">
      <c r="A90" s="225" t="s">
        <v>136</v>
      </c>
      <c r="B90" s="226" t="s">
        <v>137</v>
      </c>
    </row>
    <row r="91" spans="1:18">
      <c r="B91" s="226"/>
      <c r="C91" s="726" t="s">
        <v>116</v>
      </c>
      <c r="D91" s="249" t="e">
        <f>D67</f>
        <v>#REF!</v>
      </c>
      <c r="E91" s="227" t="s">
        <v>138</v>
      </c>
      <c r="F91" s="226"/>
      <c r="G91" s="226"/>
      <c r="H91" s="226"/>
      <c r="I91" s="226"/>
      <c r="J91" s="226"/>
      <c r="K91" s="226"/>
      <c r="L91" s="226"/>
      <c r="M91" s="226"/>
      <c r="N91" s="226"/>
      <c r="O91" s="226"/>
      <c r="P91" s="226"/>
    </row>
    <row r="92" spans="1:18">
      <c r="B92" s="228"/>
      <c r="C92" s="726"/>
      <c r="D92" s="228"/>
      <c r="E92" s="229">
        <v>10</v>
      </c>
      <c r="F92" s="229">
        <v>20</v>
      </c>
      <c r="G92" s="229">
        <v>50</v>
      </c>
      <c r="H92" s="229">
        <v>100</v>
      </c>
      <c r="I92" s="229">
        <v>200</v>
      </c>
      <c r="J92" s="229">
        <v>500</v>
      </c>
      <c r="K92" s="229">
        <v>1000</v>
      </c>
      <c r="L92" s="229">
        <v>2000</v>
      </c>
      <c r="M92" s="229">
        <v>5000</v>
      </c>
      <c r="N92" s="229">
        <v>8000</v>
      </c>
      <c r="O92" s="229">
        <v>10000</v>
      </c>
      <c r="P92" s="237"/>
      <c r="Q92" s="253" t="e">
        <f>INDEX(E92:O92,MATCH(D91,E92:O92,1))</f>
        <v>#REF!</v>
      </c>
      <c r="R92" s="254" t="e">
        <f>INDEX(E92:O92,MATCH(D91,E92:O92,1)+1)</f>
        <v>#REF!</v>
      </c>
    </row>
    <row r="93" spans="1:18">
      <c r="A93" s="230"/>
      <c r="B93" s="224" t="e">
        <f>$B$5</f>
        <v>#REF!</v>
      </c>
      <c r="D93" s="232" t="e">
        <f>IF($D$91&lt;=$E$92,E93,ROUND(FORECAST($D$91,Q93:R93,$Q$92:$R$92),3))</f>
        <v>#REF!</v>
      </c>
      <c r="E93" s="233">
        <v>0.25800000000000001</v>
      </c>
      <c r="F93" s="233">
        <v>0.223</v>
      </c>
      <c r="G93" s="233">
        <v>0.17199999999999999</v>
      </c>
      <c r="H93" s="233">
        <v>0.14299999999999999</v>
      </c>
      <c r="I93" s="233">
        <v>0.108</v>
      </c>
      <c r="J93" s="233">
        <v>8.3000000000000004E-2</v>
      </c>
      <c r="K93" s="233">
        <v>6.8000000000000005E-2</v>
      </c>
      <c r="L93" s="233">
        <v>4.3999999999999997E-2</v>
      </c>
      <c r="M93" s="233">
        <v>3.3000000000000002E-2</v>
      </c>
      <c r="N93" s="233">
        <v>2.8000000000000001E-2</v>
      </c>
      <c r="O93" s="233">
        <v>2.5999999999999999E-2</v>
      </c>
      <c r="P93" s="238"/>
      <c r="Q93" s="252" t="e">
        <f>INDEX(E93:O93,MATCH($D$91,$E$92:$O$92,1))</f>
        <v>#REF!</v>
      </c>
      <c r="R93" s="252" t="e">
        <f>INDEX(E93:O93,MATCH($D$91,$E$92:$O$92,1)+1)</f>
        <v>#REF!</v>
      </c>
    </row>
    <row r="94" spans="1:18">
      <c r="A94" s="234"/>
      <c r="B94" s="224" t="e">
        <f>$B$6</f>
        <v>#REF!</v>
      </c>
      <c r="D94" s="232" t="e">
        <f>IF($D$91&lt;=$E$92,E94,ROUND(FORECAST($D$91,Q94:R94,$Q$92:$R$92),3))</f>
        <v>#REF!</v>
      </c>
      <c r="E94" s="233">
        <v>0.28999999999999998</v>
      </c>
      <c r="F94" s="233">
        <v>0.252</v>
      </c>
      <c r="G94" s="233">
        <v>0.192</v>
      </c>
      <c r="H94" s="233">
        <v>0.14599999999999999</v>
      </c>
      <c r="I94" s="233">
        <v>0.113</v>
      </c>
      <c r="J94" s="233">
        <v>8.6999999999999994E-2</v>
      </c>
      <c r="K94" s="233">
        <v>6.6000000000000003E-2</v>
      </c>
      <c r="L94" s="233">
        <v>5.2999999999999999E-2</v>
      </c>
      <c r="M94" s="233">
        <v>3.7999999999999999E-2</v>
      </c>
      <c r="N94" s="233">
        <v>3.1E-2</v>
      </c>
      <c r="O94" s="233">
        <v>2.8000000000000001E-2</v>
      </c>
      <c r="P94" s="238"/>
      <c r="Q94" s="252" t="e">
        <f>INDEX(E94:O94,MATCH($D$91,$E$92:$O$92,1))</f>
        <v>#REF!</v>
      </c>
      <c r="R94" s="252" t="e">
        <f>INDEX(E94:O94,MATCH($D$91,$E$92:$O$92,1)+1)</f>
        <v>#REF!</v>
      </c>
    </row>
    <row r="95" spans="1:18">
      <c r="A95" s="235"/>
      <c r="B95" s="224" t="e">
        <f>$B$7</f>
        <v>#REF!</v>
      </c>
      <c r="D95" s="232" t="e">
        <f>IF($D$91&lt;=$E$92,E95,ROUND(FORECAST($D$91,Q95:R95,$Q$92:$R$92),3))</f>
        <v>#REF!</v>
      </c>
      <c r="E95" s="233">
        <v>0.17</v>
      </c>
      <c r="F95" s="233">
        <v>0.14699999999999999</v>
      </c>
      <c r="G95" s="233">
        <v>0.113</v>
      </c>
      <c r="H95" s="233">
        <v>8.4000000000000005E-2</v>
      </c>
      <c r="I95" s="233">
        <v>7.2999999999999995E-2</v>
      </c>
      <c r="J95" s="233">
        <v>5.5E-2</v>
      </c>
      <c r="K95" s="233">
        <v>4.2000000000000003E-2</v>
      </c>
      <c r="L95" s="233">
        <v>3.5000000000000003E-2</v>
      </c>
      <c r="M95" s="233">
        <v>2.4E-2</v>
      </c>
      <c r="N95" s="233">
        <v>0.02</v>
      </c>
      <c r="O95" s="233">
        <v>1.7000000000000001E-2</v>
      </c>
      <c r="P95" s="238"/>
      <c r="Q95" s="252" t="e">
        <f>INDEX(E95:O95,MATCH($D$91,$E$92:$O$92,1))</f>
        <v>#REF!</v>
      </c>
      <c r="R95" s="252" t="e">
        <f>INDEX(E95:O95,MATCH($D$91,$E$92:$O$92,1)+1)</f>
        <v>#REF!</v>
      </c>
    </row>
    <row r="96" spans="1:18">
      <c r="A96" s="234"/>
      <c r="B96" s="224" t="e">
        <f>$B$8</f>
        <v>#REF!</v>
      </c>
      <c r="D96" s="232" t="e">
        <f>IF($D$91&lt;=$E$92,E96,ROUND(FORECAST($D$91,Q96:R96,$Q$92:$R$92),3))</f>
        <v>#REF!</v>
      </c>
      <c r="E96" s="233">
        <v>0.189</v>
      </c>
      <c r="F96" s="233">
        <v>0.16300000000000001</v>
      </c>
      <c r="G96" s="233">
        <v>0.125</v>
      </c>
      <c r="H96" s="233">
        <v>9.2999999999999999E-2</v>
      </c>
      <c r="I96" s="233">
        <v>7.2999999999999995E-2</v>
      </c>
      <c r="J96" s="233">
        <v>5.6000000000000001E-2</v>
      </c>
      <c r="K96" s="233">
        <v>4.2999999999999997E-2</v>
      </c>
      <c r="L96" s="233">
        <v>3.5000000000000003E-2</v>
      </c>
      <c r="M96" s="233">
        <v>2.5999999999999999E-2</v>
      </c>
      <c r="N96" s="233">
        <v>2.1999999999999999E-2</v>
      </c>
      <c r="O96" s="233">
        <v>1.9E-2</v>
      </c>
      <c r="P96" s="238"/>
      <c r="Q96" s="252" t="e">
        <f>INDEX(E96:O96,MATCH($D$91,$E$92:$O$92,1))</f>
        <v>#REF!</v>
      </c>
      <c r="R96" s="252" t="e">
        <f>INDEX(E96:O96,MATCH($D$91,$E$92:$O$92,1)+1)</f>
        <v>#REF!</v>
      </c>
    </row>
    <row r="97" spans="1:18">
      <c r="A97" s="236"/>
      <c r="B97" s="224" t="e">
        <f>$B$9</f>
        <v>#REF!</v>
      </c>
      <c r="D97" s="232" t="e">
        <f>IF($D$91&lt;=$E$92,E97,ROUND(FORECAST($D$91,Q97:R97,$Q$92:$R$92),3))</f>
        <v>#REF!</v>
      </c>
      <c r="E97" s="233">
        <v>0.19700000000000001</v>
      </c>
      <c r="F97" s="233">
        <v>0.17199999999999999</v>
      </c>
      <c r="G97" s="233">
        <v>0.13300000000000001</v>
      </c>
      <c r="H97" s="233">
        <v>9.9000000000000005E-2</v>
      </c>
      <c r="I97" s="233">
        <v>7.5999999999999998E-2</v>
      </c>
      <c r="J97" s="233">
        <v>5.8999999999999997E-2</v>
      </c>
      <c r="K97" s="233">
        <v>4.5999999999999999E-2</v>
      </c>
      <c r="L97" s="233">
        <v>0.04</v>
      </c>
      <c r="M97" s="233">
        <v>2.9000000000000001E-2</v>
      </c>
      <c r="N97" s="233">
        <v>2.4E-2</v>
      </c>
      <c r="O97" s="233">
        <v>2.1000000000000001E-2</v>
      </c>
      <c r="P97" s="238"/>
      <c r="Q97" s="252" t="e">
        <f>INDEX(E97:O97,MATCH($D$91,$E$92:$O$92,1))</f>
        <v>#REF!</v>
      </c>
      <c r="R97" s="252" t="e">
        <f>INDEX(E97:O97,MATCH($D$91,$E$92:$O$92,1)+1)</f>
        <v>#REF!</v>
      </c>
    </row>
    <row r="98" spans="1:18">
      <c r="A98" s="225" t="s">
        <v>139</v>
      </c>
      <c r="B98" s="226" t="s">
        <v>140</v>
      </c>
    </row>
    <row r="99" spans="1:18">
      <c r="B99" s="226"/>
      <c r="C99" s="726" t="s">
        <v>116</v>
      </c>
      <c r="D99" s="249" t="e">
        <f>D91</f>
        <v>#REF!</v>
      </c>
      <c r="E99" s="227" t="s">
        <v>138</v>
      </c>
      <c r="F99" s="226"/>
      <c r="G99" s="226"/>
      <c r="H99" s="226"/>
      <c r="I99" s="226"/>
      <c r="J99" s="226"/>
      <c r="K99" s="226"/>
      <c r="L99" s="226"/>
      <c r="M99" s="226"/>
      <c r="N99" s="226"/>
      <c r="O99" s="226"/>
      <c r="P99" s="226"/>
    </row>
    <row r="100" spans="1:18">
      <c r="B100" s="228"/>
      <c r="C100" s="726"/>
      <c r="D100" s="228"/>
      <c r="E100" s="229">
        <v>10</v>
      </c>
      <c r="F100" s="229">
        <v>20</v>
      </c>
      <c r="G100" s="229">
        <v>50</v>
      </c>
      <c r="H100" s="229">
        <v>100</v>
      </c>
      <c r="I100" s="229">
        <v>200</v>
      </c>
      <c r="J100" s="229">
        <v>500</v>
      </c>
      <c r="K100" s="229">
        <v>1000</v>
      </c>
      <c r="L100" s="229">
        <v>2000</v>
      </c>
      <c r="M100" s="229">
        <v>5000</v>
      </c>
      <c r="N100" s="229">
        <v>8000</v>
      </c>
      <c r="O100" s="229">
        <v>10000</v>
      </c>
      <c r="P100" s="237"/>
      <c r="Q100" s="253" t="e">
        <f>INDEX(E100:O100,MATCH(D99,E100:O100,1))</f>
        <v>#REF!</v>
      </c>
      <c r="R100" s="254" t="e">
        <f>INDEX(E100:O100,MATCH(D99,E100:O100,1)+1)</f>
        <v>#REF!</v>
      </c>
    </row>
    <row r="101" spans="1:18">
      <c r="A101" s="230"/>
      <c r="B101" s="224" t="e">
        <f>$B$5</f>
        <v>#REF!</v>
      </c>
      <c r="D101" s="232" t="e">
        <f>IF($D$99&lt;=$E$100,E101,ROUND(FORECAST($D$99,Q101:R101,$Q$100:$R$100),3))</f>
        <v>#REF!</v>
      </c>
      <c r="E101" s="233">
        <v>0.25</v>
      </c>
      <c r="F101" s="233">
        <v>0.219</v>
      </c>
      <c r="G101" s="233">
        <v>0.16600000000000001</v>
      </c>
      <c r="H101" s="233">
        <v>0.14000000000000001</v>
      </c>
      <c r="I101" s="233">
        <v>0.105</v>
      </c>
      <c r="J101" s="233">
        <v>7.6999999999999999E-2</v>
      </c>
      <c r="K101" s="233">
        <v>6.4000000000000001E-2</v>
      </c>
      <c r="L101" s="233">
        <v>4.2999999999999997E-2</v>
      </c>
      <c r="M101" s="233">
        <v>3.2000000000000001E-2</v>
      </c>
      <c r="N101" s="233">
        <v>2.7E-2</v>
      </c>
      <c r="O101" s="233">
        <v>2.5000000000000001E-2</v>
      </c>
      <c r="P101" s="238"/>
      <c r="Q101" s="252" t="e">
        <f>INDEX(E101:O101,MATCH($D$99,$E$100:$O$100,1))</f>
        <v>#REF!</v>
      </c>
      <c r="R101" s="252" t="e">
        <f>INDEX(E101:O101,MATCH($D$99,$E$100:$O$100,1)+1)</f>
        <v>#REF!</v>
      </c>
    </row>
    <row r="102" spans="1:18">
      <c r="A102" s="234"/>
      <c r="B102" s="224" t="e">
        <f>$B$6</f>
        <v>#REF!</v>
      </c>
      <c r="D102" s="232" t="e">
        <f>IF($D$99&lt;=$E$100,E102,ROUND(FORECAST($D$99,Q102:R102,$Q$100:$R$100),3))</f>
        <v>#REF!</v>
      </c>
      <c r="E102" s="233">
        <v>0.28199999999999997</v>
      </c>
      <c r="F102" s="233">
        <v>0.24399999999999999</v>
      </c>
      <c r="G102" s="233">
        <v>0.185</v>
      </c>
      <c r="H102" s="233">
        <v>0.14099999999999999</v>
      </c>
      <c r="I102" s="233">
        <v>0.108</v>
      </c>
      <c r="J102" s="233">
        <v>8.3000000000000004E-2</v>
      </c>
      <c r="K102" s="233">
        <v>6.2E-2</v>
      </c>
      <c r="L102" s="233">
        <v>0.05</v>
      </c>
      <c r="M102" s="233">
        <v>3.4000000000000002E-2</v>
      </c>
      <c r="N102" s="233">
        <v>0.03</v>
      </c>
      <c r="O102" s="233">
        <v>2.7E-2</v>
      </c>
      <c r="P102" s="238"/>
      <c r="Q102" s="252" t="e">
        <f>INDEX(E102:O102,MATCH($D$99,$E$100:$O$100,1))</f>
        <v>#REF!</v>
      </c>
      <c r="R102" s="252" t="e">
        <f>INDEX(E102:O102,MATCH($D$99,$E$100:$O$100,1)+1)</f>
        <v>#REF!</v>
      </c>
    </row>
    <row r="103" spans="1:18">
      <c r="A103" s="235"/>
      <c r="B103" s="224" t="e">
        <f>$B$7</f>
        <v>#REF!</v>
      </c>
      <c r="D103" s="232" t="e">
        <f>IF($D$99&lt;=$E$100,E103,ROUND(FORECAST($D$99,Q103:R103,$Q$100:$R$100),3))</f>
        <v>#REF!</v>
      </c>
      <c r="E103" s="233">
        <v>0.16600000000000001</v>
      </c>
      <c r="F103" s="233">
        <v>0.14199999999999999</v>
      </c>
      <c r="G103" s="233">
        <v>0.106</v>
      </c>
      <c r="H103" s="233">
        <v>8.2000000000000003E-2</v>
      </c>
      <c r="I103" s="233">
        <v>6.9000000000000006E-2</v>
      </c>
      <c r="J103" s="233">
        <v>5.1999999999999998E-2</v>
      </c>
      <c r="K103" s="233">
        <v>4.1000000000000002E-2</v>
      </c>
      <c r="L103" s="233">
        <v>3.4000000000000002E-2</v>
      </c>
      <c r="M103" s="233">
        <v>2.1000000000000001E-2</v>
      </c>
      <c r="N103" s="233">
        <v>1.7999999999999999E-2</v>
      </c>
      <c r="O103" s="233">
        <v>1.6E-2</v>
      </c>
      <c r="P103" s="238"/>
      <c r="Q103" s="252" t="e">
        <f>INDEX(E103:O103,MATCH($D$99,$E$100:$O$100,1))</f>
        <v>#REF!</v>
      </c>
      <c r="R103" s="252" t="e">
        <f>INDEX(E103:O103,MATCH($D$99,$E$100:$O$100,1)+1)</f>
        <v>#REF!</v>
      </c>
    </row>
    <row r="104" spans="1:18">
      <c r="A104" s="234"/>
      <c r="B104" s="224" t="e">
        <f>$B$8</f>
        <v>#REF!</v>
      </c>
      <c r="D104" s="232" t="e">
        <f>IF($D$99&lt;=$E$100,E104,ROUND(FORECAST($D$99,Q104:R104,$Q$100:$R$100),3))</f>
        <v>#REF!</v>
      </c>
      <c r="E104" s="233">
        <v>0.183</v>
      </c>
      <c r="F104" s="233">
        <v>0.158</v>
      </c>
      <c r="G104" s="233">
        <v>0.11899999999999999</v>
      </c>
      <c r="H104" s="233">
        <v>9.1999999999999998E-2</v>
      </c>
      <c r="I104" s="233">
        <v>7.0000000000000007E-2</v>
      </c>
      <c r="J104" s="233">
        <v>5.2999999999999999E-2</v>
      </c>
      <c r="K104" s="233">
        <v>0.04</v>
      </c>
      <c r="L104" s="233">
        <v>3.4000000000000002E-2</v>
      </c>
      <c r="M104" s="233">
        <v>2.4E-2</v>
      </c>
      <c r="N104" s="233">
        <v>2.1000000000000001E-2</v>
      </c>
      <c r="O104" s="233">
        <v>1.7999999999999999E-2</v>
      </c>
      <c r="P104" s="238"/>
      <c r="Q104" s="252" t="e">
        <f>INDEX(E104:O104,MATCH($D$99,$E$100:$O$100,1))</f>
        <v>#REF!</v>
      </c>
      <c r="R104" s="252" t="e">
        <f>INDEX(E104:O104,MATCH($D$99,$E$100:$O$100,1)+1)</f>
        <v>#REF!</v>
      </c>
    </row>
    <row r="105" spans="1:18">
      <c r="A105" s="236"/>
      <c r="B105" s="224" t="e">
        <f>$B$9</f>
        <v>#REF!</v>
      </c>
      <c r="D105" s="232" t="e">
        <f>IF($D$99&lt;=$E$100,E105,ROUND(FORECAST($D$99,Q105:R105,$Q$100:$R$100),3))</f>
        <v>#REF!</v>
      </c>
      <c r="E105" s="233">
        <v>0.191</v>
      </c>
      <c r="F105" s="233">
        <v>0.16600000000000001</v>
      </c>
      <c r="G105" s="233">
        <v>0.128</v>
      </c>
      <c r="H105" s="233">
        <v>9.5000000000000001E-2</v>
      </c>
      <c r="I105" s="233">
        <v>7.1999999999999995E-2</v>
      </c>
      <c r="J105" s="233">
        <v>5.6000000000000001E-2</v>
      </c>
      <c r="K105" s="233">
        <v>4.3999999999999997E-2</v>
      </c>
      <c r="L105" s="233">
        <v>3.6999999999999998E-2</v>
      </c>
      <c r="M105" s="233">
        <v>2.5999999999999999E-2</v>
      </c>
      <c r="N105" s="233">
        <v>2.1999999999999999E-2</v>
      </c>
      <c r="O105" s="233">
        <v>0.02</v>
      </c>
      <c r="P105" s="238"/>
      <c r="Q105" s="252" t="e">
        <f>INDEX(E105:O105,MATCH($D$99,$E$100:$O$100,1))</f>
        <v>#REF!</v>
      </c>
      <c r="R105" s="252" t="e">
        <f>INDEX(E105:O105,MATCH($D$99,$E$100:$O$100,1)+1)</f>
        <v>#REF!</v>
      </c>
    </row>
    <row r="106" spans="1:18">
      <c r="A106" s="225" t="s">
        <v>141</v>
      </c>
      <c r="B106" s="226" t="s">
        <v>142</v>
      </c>
    </row>
    <row r="107" spans="1:18">
      <c r="B107" s="226"/>
      <c r="C107" s="225" t="s">
        <v>143</v>
      </c>
      <c r="D107" s="249" t="e">
        <f>#REF!/10^9</f>
        <v>#REF!</v>
      </c>
      <c r="E107" s="227" t="s">
        <v>144</v>
      </c>
      <c r="F107" s="226"/>
      <c r="G107" s="226"/>
      <c r="H107" s="226"/>
      <c r="I107" s="226"/>
      <c r="J107" s="226"/>
      <c r="K107" s="226"/>
      <c r="L107" s="226"/>
      <c r="M107" s="226"/>
      <c r="N107" s="226"/>
      <c r="O107" s="226"/>
      <c r="P107" s="226"/>
    </row>
    <row r="108" spans="1:18">
      <c r="B108" s="228"/>
      <c r="C108" s="241"/>
      <c r="D108" s="228"/>
      <c r="E108" s="229">
        <v>1</v>
      </c>
      <c r="F108" s="229">
        <v>3</v>
      </c>
      <c r="G108" s="229">
        <v>5</v>
      </c>
      <c r="H108" s="229">
        <v>10</v>
      </c>
      <c r="I108" s="229">
        <v>20</v>
      </c>
      <c r="J108" s="229">
        <v>50</v>
      </c>
      <c r="K108" s="229">
        <v>100</v>
      </c>
      <c r="L108" s="237"/>
      <c r="M108" s="237"/>
      <c r="N108" s="237"/>
      <c r="O108" s="237"/>
      <c r="P108" s="237"/>
      <c r="Q108" s="253" t="e">
        <f>INDEX(E108:K108,MATCH(D107,E108:K108,1))</f>
        <v>#REF!</v>
      </c>
      <c r="R108" s="254" t="e">
        <f>INDEX(E108:K108,MATCH(D107,E108:K108,1)+1)</f>
        <v>#REF!</v>
      </c>
    </row>
    <row r="109" spans="1:18">
      <c r="A109" s="230"/>
      <c r="B109" s="231"/>
      <c r="D109" s="232" t="e">
        <f>IF($D$107&lt;=$E$108,E109,ROUND(FORECAST($D$107,Q109:R109,$Q$108:$R$108),3))</f>
        <v>#REF!</v>
      </c>
      <c r="E109" s="233">
        <v>0.81599999999999995</v>
      </c>
      <c r="F109" s="233">
        <v>0.58299999999999996</v>
      </c>
      <c r="G109" s="233">
        <v>0.505</v>
      </c>
      <c r="H109" s="233">
        <v>0.38900000000000001</v>
      </c>
      <c r="I109" s="233">
        <v>0.311</v>
      </c>
      <c r="J109" s="233">
        <v>0.17599999999999999</v>
      </c>
      <c r="K109" s="233">
        <v>0.114</v>
      </c>
      <c r="L109" s="238"/>
      <c r="M109" s="238"/>
      <c r="N109" s="238"/>
      <c r="O109" s="238"/>
      <c r="P109" s="238"/>
      <c r="Q109" s="252" t="e">
        <f>INDEX(E109:K109,MATCH($D$107,$E$108:$K$108,1))</f>
        <v>#REF!</v>
      </c>
      <c r="R109" s="252" t="e">
        <f>INDEX(E109:K109,MATCH($D$107,$E$108:$K$108,1)+1)</f>
        <v>#REF!</v>
      </c>
    </row>
    <row r="110" spans="1:18">
      <c r="B110" s="226"/>
      <c r="C110" s="225" t="s">
        <v>145</v>
      </c>
      <c r="D110" s="256" t="e">
        <f>#REF!/10^9</f>
        <v>#REF!</v>
      </c>
      <c r="E110" s="227" t="s">
        <v>144</v>
      </c>
      <c r="F110" s="226"/>
      <c r="G110" s="226"/>
      <c r="H110" s="226"/>
      <c r="I110" s="226"/>
      <c r="J110" s="226"/>
      <c r="K110" s="226"/>
      <c r="L110" s="226"/>
      <c r="M110" s="226"/>
      <c r="N110" s="226"/>
      <c r="O110" s="226"/>
      <c r="P110" s="226"/>
    </row>
    <row r="111" spans="1:18">
      <c r="B111" s="228"/>
      <c r="C111" s="241"/>
      <c r="D111" s="228"/>
      <c r="E111" s="229">
        <v>1</v>
      </c>
      <c r="F111" s="229">
        <v>3</v>
      </c>
      <c r="G111" s="229">
        <v>5</v>
      </c>
      <c r="H111" s="229">
        <v>10</v>
      </c>
      <c r="I111" s="229">
        <v>20</v>
      </c>
      <c r="J111" s="229">
        <v>50</v>
      </c>
      <c r="K111" s="229">
        <v>100</v>
      </c>
      <c r="L111" s="237"/>
      <c r="M111" s="237"/>
      <c r="N111" s="237"/>
      <c r="O111" s="237"/>
      <c r="P111" s="237"/>
      <c r="Q111" s="253" t="e">
        <f>INDEX(E111:K111,MATCH(D110,E111:K111,1))</f>
        <v>#REF!</v>
      </c>
      <c r="R111" s="254" t="e">
        <f>INDEX(E111:K111,MATCH(D110,E111:K111,1)+1)</f>
        <v>#REF!</v>
      </c>
    </row>
    <row r="112" spans="1:18">
      <c r="A112" s="230"/>
      <c r="B112" s="231"/>
      <c r="D112" s="232" t="e">
        <f>IF($D$110&lt;=$E$111,E112,ROUND(FORECAST($D$110,Q112:R112,$Q$111:$R$111),3))</f>
        <v>#REF!</v>
      </c>
      <c r="E112" s="233">
        <v>0.81599999999999995</v>
      </c>
      <c r="F112" s="233">
        <v>0.58299999999999996</v>
      </c>
      <c r="G112" s="233">
        <v>0.505</v>
      </c>
      <c r="H112" s="233">
        <v>0.38900000000000001</v>
      </c>
      <c r="I112" s="233">
        <v>0.311</v>
      </c>
      <c r="J112" s="233">
        <v>0.17599999999999999</v>
      </c>
      <c r="K112" s="233">
        <v>0.114</v>
      </c>
      <c r="L112" s="238"/>
      <c r="M112" s="238"/>
      <c r="N112" s="238"/>
      <c r="O112" s="238"/>
      <c r="P112" s="238"/>
      <c r="Q112" s="252" t="e">
        <f>INDEX(E112:K112,MATCH($D$110,$E$111:$K$111,1))</f>
        <v>#REF!</v>
      </c>
      <c r="R112" s="252" t="e">
        <f>INDEX(E112:K112,MATCH($D$110,$E$111:$K$111,1)+1)</f>
        <v>#REF!</v>
      </c>
    </row>
    <row r="113" spans="1:18">
      <c r="A113" s="225" t="s">
        <v>146</v>
      </c>
      <c r="B113" s="226" t="s">
        <v>147</v>
      </c>
    </row>
    <row r="114" spans="1:18">
      <c r="B114" s="226"/>
      <c r="C114" s="726" t="s">
        <v>116</v>
      </c>
      <c r="D114" s="255" t="e">
        <f>D91</f>
        <v>#REF!</v>
      </c>
      <c r="E114" s="227" t="s">
        <v>138</v>
      </c>
      <c r="F114" s="226"/>
      <c r="G114" s="226"/>
      <c r="H114" s="226"/>
      <c r="I114" s="226"/>
      <c r="J114" s="226"/>
      <c r="K114" s="226"/>
      <c r="L114" s="226"/>
      <c r="M114" s="226"/>
      <c r="N114" s="226"/>
      <c r="O114" s="226"/>
      <c r="P114" s="226"/>
    </row>
    <row r="115" spans="1:18">
      <c r="B115" s="228"/>
      <c r="C115" s="726"/>
      <c r="D115" s="228"/>
      <c r="E115" s="229">
        <v>10</v>
      </c>
      <c r="F115" s="229">
        <v>20</v>
      </c>
      <c r="G115" s="229">
        <v>50</v>
      </c>
      <c r="H115" s="229">
        <v>100</v>
      </c>
      <c r="I115" s="229">
        <v>200</v>
      </c>
      <c r="J115" s="229">
        <v>500</v>
      </c>
      <c r="K115" s="229">
        <v>1000</v>
      </c>
      <c r="L115" s="229">
        <v>2000</v>
      </c>
      <c r="M115" s="237"/>
      <c r="N115" s="237"/>
      <c r="O115" s="237"/>
      <c r="P115" s="237"/>
      <c r="Q115" s="253" t="e">
        <f>INDEX(E115:L115,MATCH(D114,E115:L115,1))</f>
        <v>#REF!</v>
      </c>
      <c r="R115" s="254" t="e">
        <f>INDEX(E115:L115,MATCH(D114,E115:L115,1)+1)</f>
        <v>#REF!</v>
      </c>
    </row>
    <row r="116" spans="1:18">
      <c r="A116" s="230"/>
      <c r="B116" s="224" t="e">
        <f>$B$5</f>
        <v>#REF!</v>
      </c>
      <c r="D116" s="232" t="e">
        <f>IF($D$114&lt;=$E$115,E116,ROUND(FORECAST($D$114,Q116:R116,$Q$115:$R$115),3))</f>
        <v>#REF!</v>
      </c>
      <c r="E116" s="233">
        <v>0.432</v>
      </c>
      <c r="F116" s="233">
        <v>0.34599999999999997</v>
      </c>
      <c r="G116" s="233">
        <v>0.19500000000000001</v>
      </c>
      <c r="H116" s="233">
        <v>0.127</v>
      </c>
      <c r="I116" s="233">
        <v>7.8E-2</v>
      </c>
      <c r="J116" s="233">
        <v>5.7000000000000002E-2</v>
      </c>
      <c r="K116" s="233">
        <v>0.04</v>
      </c>
      <c r="L116" s="233">
        <v>3.2000000000000001E-2</v>
      </c>
      <c r="M116" s="238"/>
      <c r="N116" s="238"/>
      <c r="O116" s="238"/>
      <c r="P116" s="238"/>
      <c r="Q116" s="252" t="e">
        <f>INDEX(E116:L116,MATCH($D$114,$E$115:$L$115,1))</f>
        <v>#REF!</v>
      </c>
      <c r="R116" s="252" t="e">
        <f>INDEX(E116:L116,MATCH($D$114,$E$115:$L$115,1)+1)</f>
        <v>#REF!</v>
      </c>
    </row>
    <row r="117" spans="1:18">
      <c r="A117" s="234"/>
      <c r="B117" s="224" t="e">
        <f>$B$6</f>
        <v>#REF!</v>
      </c>
      <c r="D117" s="232" t="e">
        <f>IF($D$114&lt;=$E$115,E117,ROUND(FORECAST($D$114,Q117:R117,$Q$115:$R$115),3))</f>
        <v>#REF!</v>
      </c>
      <c r="E117" s="233">
        <v>0.54900000000000004</v>
      </c>
      <c r="F117" s="233">
        <v>0.379</v>
      </c>
      <c r="G117" s="233">
        <v>0.21099999999999999</v>
      </c>
      <c r="H117" s="233">
        <v>0.14399999999999999</v>
      </c>
      <c r="I117" s="233">
        <v>9.6000000000000002E-2</v>
      </c>
      <c r="J117" s="233">
        <v>6.7000000000000004E-2</v>
      </c>
      <c r="K117" s="233">
        <v>5.1999999999999998E-2</v>
      </c>
      <c r="L117" s="233">
        <v>4.1000000000000002E-2</v>
      </c>
      <c r="M117" s="238"/>
      <c r="N117" s="238"/>
      <c r="O117" s="238"/>
      <c r="P117" s="238"/>
      <c r="Q117" s="252" t="e">
        <f>INDEX(E117:L117,MATCH($D$114,$E$115:$L$115,1))</f>
        <v>#REF!</v>
      </c>
      <c r="R117" s="252" t="e">
        <f>INDEX(E117:L117,MATCH($D$114,$E$115:$L$115,1)+1)</f>
        <v>#REF!</v>
      </c>
    </row>
    <row r="118" spans="1:18">
      <c r="A118" s="235"/>
      <c r="B118" s="224" t="e">
        <f>$B$7</f>
        <v>#REF!</v>
      </c>
      <c r="D118" s="232" t="e">
        <f>IF($D$114&lt;=$E$115,E118,ROUND(FORECAST($D$114,Q118:R118,$Q$115:$R$115),3))</f>
        <v>#REF!</v>
      </c>
      <c r="E118" s="233">
        <v>0.34599999999999997</v>
      </c>
      <c r="F118" s="233">
        <v>0.23699999999999999</v>
      </c>
      <c r="G118" s="233">
        <v>0.151</v>
      </c>
      <c r="H118" s="233">
        <v>0.09</v>
      </c>
      <c r="I118" s="233">
        <v>5.7000000000000002E-2</v>
      </c>
      <c r="J118" s="233">
        <v>4.2999999999999997E-2</v>
      </c>
      <c r="K118" s="233">
        <v>2.9000000000000001E-2</v>
      </c>
      <c r="L118" s="233">
        <v>2.3E-2</v>
      </c>
      <c r="M118" s="238"/>
      <c r="N118" s="238"/>
      <c r="O118" s="238"/>
      <c r="P118" s="238"/>
      <c r="Q118" s="252" t="e">
        <f>INDEX(E118:L118,MATCH($D$114,$E$115:$L$115,1))</f>
        <v>#REF!</v>
      </c>
      <c r="R118" s="252" t="e">
        <f>INDEX(E118:L118,MATCH($D$114,$E$115:$L$115,1)+1)</f>
        <v>#REF!</v>
      </c>
    </row>
    <row r="119" spans="1:18">
      <c r="A119" s="234"/>
      <c r="B119" s="224" t="e">
        <f>$B$8</f>
        <v>#REF!</v>
      </c>
      <c r="D119" s="232" t="e">
        <f>IF($D$114&lt;=$E$115,E119,ROUND(FORECAST($D$114,Q119:R119,$Q$115:$R$115),3))</f>
        <v>#REF!</v>
      </c>
      <c r="E119" s="233">
        <v>0.36099999999999999</v>
      </c>
      <c r="F119" s="233">
        <v>0.30199999999999999</v>
      </c>
      <c r="G119" s="233">
        <v>0.16600000000000001</v>
      </c>
      <c r="H119" s="233">
        <v>9.4E-2</v>
      </c>
      <c r="I119" s="233">
        <v>6.6000000000000003E-2</v>
      </c>
      <c r="J119" s="233">
        <v>4.5999999999999999E-2</v>
      </c>
      <c r="K119" s="233">
        <v>3.1E-2</v>
      </c>
      <c r="L119" s="233">
        <v>2.5999999999999999E-2</v>
      </c>
      <c r="M119" s="238"/>
      <c r="N119" s="238"/>
      <c r="O119" s="238"/>
      <c r="P119" s="238"/>
      <c r="Q119" s="252" t="e">
        <f>INDEX(E119:L119,MATCH($D$114,$E$115:$L$115,1))</f>
        <v>#REF!</v>
      </c>
      <c r="R119" s="252" t="e">
        <f>INDEX(E119:L119,MATCH($D$114,$E$115:$L$115,1)+1)</f>
        <v>#REF!</v>
      </c>
    </row>
    <row r="120" spans="1:18">
      <c r="A120" s="236"/>
      <c r="B120" s="224" t="e">
        <f>$B$9</f>
        <v>#REF!</v>
      </c>
      <c r="D120" s="232" t="e">
        <f>IF($D$114&lt;=$E$115,E120,ROUND(FORECAST($D$114,Q120:R120,$Q$115:$R$115),3))</f>
        <v>#REF!</v>
      </c>
      <c r="E120" s="233">
        <v>0.38800000000000001</v>
      </c>
      <c r="F120" s="233">
        <v>0.32500000000000001</v>
      </c>
      <c r="G120" s="233">
        <v>0.17199999999999999</v>
      </c>
      <c r="H120" s="233">
        <v>0.106</v>
      </c>
      <c r="I120" s="233">
        <v>6.9000000000000006E-2</v>
      </c>
      <c r="J120" s="233">
        <v>5.1999999999999998E-2</v>
      </c>
      <c r="K120" s="233">
        <v>3.7999999999999999E-2</v>
      </c>
      <c r="L120" s="233">
        <v>2.8000000000000001E-2</v>
      </c>
      <c r="M120" s="238"/>
      <c r="N120" s="238"/>
      <c r="O120" s="238"/>
      <c r="P120" s="238"/>
      <c r="Q120" s="252" t="e">
        <f>INDEX(E120:L120,MATCH($D$114,$E$115:$L$115,1))</f>
        <v>#REF!</v>
      </c>
      <c r="R120" s="252" t="e">
        <f>INDEX(E120:L120,MATCH($D$114,$E$115:$L$115,1)+1)</f>
        <v>#REF!</v>
      </c>
    </row>
    <row r="121" spans="1:18">
      <c r="A121" s="225" t="s">
        <v>148</v>
      </c>
      <c r="B121" s="226" t="s">
        <v>149</v>
      </c>
    </row>
    <row r="122" spans="1:18">
      <c r="B122" s="226"/>
      <c r="C122" s="726" t="s">
        <v>116</v>
      </c>
      <c r="D122" s="255" t="e">
        <f>#REF!/10^9</f>
        <v>#REF!</v>
      </c>
      <c r="E122" s="227" t="s">
        <v>150</v>
      </c>
      <c r="F122" s="226"/>
      <c r="G122" s="226"/>
      <c r="H122" s="226"/>
      <c r="I122" s="226"/>
      <c r="J122" s="226"/>
      <c r="K122" s="226"/>
      <c r="L122" s="226"/>
      <c r="M122" s="226"/>
      <c r="N122" s="226"/>
      <c r="O122" s="226"/>
      <c r="P122" s="226"/>
    </row>
    <row r="123" spans="1:18">
      <c r="B123" s="228"/>
      <c r="C123" s="726"/>
      <c r="D123" s="228"/>
      <c r="E123" s="229">
        <v>10</v>
      </c>
      <c r="F123" s="229">
        <v>20</v>
      </c>
      <c r="G123" s="229">
        <v>50</v>
      </c>
      <c r="H123" s="229">
        <v>100</v>
      </c>
      <c r="I123" s="229">
        <v>200</v>
      </c>
      <c r="J123" s="229">
        <v>500</v>
      </c>
      <c r="K123" s="229">
        <v>1000</v>
      </c>
      <c r="L123" s="229">
        <v>2000</v>
      </c>
      <c r="M123" s="237"/>
      <c r="N123" s="237"/>
      <c r="O123" s="237"/>
      <c r="P123" s="237"/>
      <c r="Q123" s="253" t="e">
        <f>INDEX(E123:L123,MATCH(D122,E123:L123,1))</f>
        <v>#REF!</v>
      </c>
      <c r="R123" s="254" t="e">
        <f>INDEX(E123:L123,MATCH(D122,E123:L123,1)+1)</f>
        <v>#REF!</v>
      </c>
    </row>
    <row r="124" spans="1:18">
      <c r="A124" s="230"/>
      <c r="B124" s="224" t="e">
        <f>$B$5</f>
        <v>#REF!</v>
      </c>
      <c r="D124" s="232" t="e">
        <f>IF($D$122&lt;=$E$123,E124,ROUND(FORECAST($D$122,Q124:R124,$Q$123:$R$123),3))</f>
        <v>#REF!</v>
      </c>
      <c r="E124" s="233">
        <v>0.36699999999999999</v>
      </c>
      <c r="F124" s="233">
        <v>0.34599999999999997</v>
      </c>
      <c r="G124" s="233">
        <v>0.18099999999999999</v>
      </c>
      <c r="H124" s="233">
        <v>0.113</v>
      </c>
      <c r="I124" s="233">
        <v>0.10199999999999999</v>
      </c>
      <c r="J124" s="233">
        <v>8.1000000000000003E-2</v>
      </c>
      <c r="K124" s="233">
        <v>5.5E-2</v>
      </c>
      <c r="L124" s="233">
        <v>4.2999999999999997E-2</v>
      </c>
      <c r="M124" s="238"/>
      <c r="N124" s="238"/>
      <c r="O124" s="238"/>
      <c r="P124" s="238"/>
      <c r="Q124" s="252" t="e">
        <f>INDEX(E124:L124,MATCH($D$122,$E$123:$L$123,1))</f>
        <v>#REF!</v>
      </c>
      <c r="R124" s="252" t="e">
        <f>INDEX(E124:L124,MATCH($D$122,$E$123:$L$123,1)+1)</f>
        <v>#REF!</v>
      </c>
    </row>
    <row r="125" spans="1:18">
      <c r="A125" s="234"/>
      <c r="B125" s="224" t="e">
        <f>$B$6</f>
        <v>#REF!</v>
      </c>
      <c r="D125" s="232" t="e">
        <f>IF($D$122&lt;=$E$123,E125,ROUND(FORECAST($D$122,Q125:R125,$Q$123:$R$123),3))</f>
        <v>#REF!</v>
      </c>
      <c r="E125" s="233">
        <v>0.54900000000000004</v>
      </c>
      <c r="F125" s="233">
        <v>0.49399999999999999</v>
      </c>
      <c r="G125" s="233">
        <v>0.28000000000000003</v>
      </c>
      <c r="H125" s="233">
        <v>0.17699999999999999</v>
      </c>
      <c r="I125" s="233">
        <v>0.152</v>
      </c>
      <c r="J125" s="233">
        <v>0.123</v>
      </c>
      <c r="K125" s="233">
        <v>8.4000000000000005E-2</v>
      </c>
      <c r="L125" s="233">
        <v>6.6000000000000003E-2</v>
      </c>
      <c r="M125" s="238"/>
      <c r="N125" s="238"/>
      <c r="O125" s="238"/>
      <c r="P125" s="238"/>
      <c r="Q125" s="252" t="e">
        <f>INDEX(E125:L125,MATCH($D$122,$E$123:$L$123,1))</f>
        <v>#REF!</v>
      </c>
      <c r="R125" s="252" t="e">
        <f>INDEX(E125:L125,MATCH($D$122,$E$123:$L$123,1)+1)</f>
        <v>#REF!</v>
      </c>
    </row>
    <row r="126" spans="1:18">
      <c r="A126" s="235"/>
      <c r="B126" s="224" t="e">
        <f>$B$7</f>
        <v>#REF!</v>
      </c>
      <c r="D126" s="232" t="e">
        <f>IF($D$122&lt;=$E$123,E126,ROUND(FORECAST($D$122,Q126:R126,$Q$123:$R$123),3))</f>
        <v>#REF!</v>
      </c>
      <c r="E126" s="233">
        <v>0.26100000000000001</v>
      </c>
      <c r="F126" s="233">
        <v>0.23</v>
      </c>
      <c r="G126" s="233">
        <v>0.13100000000000001</v>
      </c>
      <c r="H126" s="233">
        <v>8.4000000000000005E-2</v>
      </c>
      <c r="I126" s="233">
        <v>7.3999999999999996E-2</v>
      </c>
      <c r="J126" s="233">
        <v>5.6000000000000001E-2</v>
      </c>
      <c r="K126" s="233">
        <v>0.04</v>
      </c>
      <c r="L126" s="233">
        <v>3.2000000000000001E-2</v>
      </c>
      <c r="M126" s="238"/>
      <c r="N126" s="238"/>
      <c r="O126" s="238"/>
      <c r="P126" s="238"/>
      <c r="Q126" s="252" t="e">
        <f>INDEX(E126:L126,MATCH($D$122,$E$123:$L$123,1))</f>
        <v>#REF!</v>
      </c>
      <c r="R126" s="252" t="e">
        <f>INDEX(E126:L126,MATCH($D$122,$E$123:$L$123,1)+1)</f>
        <v>#REF!</v>
      </c>
    </row>
    <row r="127" spans="1:18">
      <c r="A127" s="234"/>
      <c r="B127" s="224" t="e">
        <f>$B$8</f>
        <v>#REF!</v>
      </c>
      <c r="D127" s="232" t="e">
        <f>IF($D$122&lt;=$E$123,E127,ROUND(FORECAST($D$122,Q127:R127,$Q$123:$R$123),3))</f>
        <v>#REF!</v>
      </c>
      <c r="E127" s="233">
        <v>0.28100000000000003</v>
      </c>
      <c r="F127" s="233">
        <v>0.245</v>
      </c>
      <c r="G127" s="233">
        <v>0.14000000000000001</v>
      </c>
      <c r="H127" s="233">
        <v>0.09</v>
      </c>
      <c r="I127" s="233">
        <v>7.8E-2</v>
      </c>
      <c r="J127" s="233">
        <v>6.0999999999999999E-2</v>
      </c>
      <c r="K127" s="233">
        <v>0.05</v>
      </c>
      <c r="L127" s="233">
        <v>3.6999999999999998E-2</v>
      </c>
      <c r="M127" s="238"/>
      <c r="N127" s="238"/>
      <c r="O127" s="238"/>
      <c r="P127" s="238"/>
      <c r="Q127" s="252" t="e">
        <f>INDEX(E127:L127,MATCH($D$122,$E$123:$L$123,1))</f>
        <v>#REF!</v>
      </c>
      <c r="R127" s="252" t="e">
        <f>INDEX(E127:L127,MATCH($D$122,$E$123:$L$123,1)+1)</f>
        <v>#REF!</v>
      </c>
    </row>
    <row r="128" spans="1:18">
      <c r="A128" s="236"/>
      <c r="B128" s="224" t="e">
        <f>$B$9</f>
        <v>#REF!</v>
      </c>
      <c r="D128" s="232" t="e">
        <f>IF($D$122&lt;=$E$123,E128,ROUND(FORECAST($D$122,Q128:R128,$Q$123:$R$123),3))</f>
        <v>#REF!</v>
      </c>
      <c r="E128" s="233">
        <v>0.30199999999999999</v>
      </c>
      <c r="F128" s="233">
        <v>0.26</v>
      </c>
      <c r="G128" s="233">
        <v>0.156</v>
      </c>
      <c r="H128" s="233">
        <v>0.10199999999999999</v>
      </c>
      <c r="I128" s="233">
        <v>8.6999999999999994E-2</v>
      </c>
      <c r="J128" s="233">
        <v>6.9000000000000006E-2</v>
      </c>
      <c r="K128" s="233">
        <v>5.3999999999999999E-2</v>
      </c>
      <c r="L128" s="233">
        <v>4.1000000000000002E-2</v>
      </c>
      <c r="M128" s="238"/>
      <c r="N128" s="238"/>
      <c r="O128" s="238"/>
      <c r="P128" s="238"/>
      <c r="Q128" s="252" t="e">
        <f>INDEX(E128:L128,MATCH($D$122,$E$123:$L$123,1))</f>
        <v>#REF!</v>
      </c>
      <c r="R128" s="252" t="e">
        <f>INDEX(E128:L128,MATCH($D$122,$E$123:$L$123,1)+1)</f>
        <v>#REF!</v>
      </c>
    </row>
    <row r="129" spans="1:18">
      <c r="A129" s="225" t="s">
        <v>151</v>
      </c>
      <c r="B129" s="226" t="s">
        <v>152</v>
      </c>
    </row>
    <row r="130" spans="1:18">
      <c r="B130" s="226"/>
      <c r="C130" s="726" t="s">
        <v>116</v>
      </c>
      <c r="D130" s="255" t="e">
        <f>D114</f>
        <v>#REF!</v>
      </c>
      <c r="E130" s="227" t="s">
        <v>138</v>
      </c>
      <c r="F130" s="226"/>
      <c r="G130" s="226"/>
      <c r="H130" s="226"/>
      <c r="I130" s="226"/>
      <c r="J130" s="226"/>
      <c r="K130" s="226"/>
      <c r="L130" s="226"/>
      <c r="M130" s="226"/>
      <c r="N130" s="226"/>
      <c r="O130" s="226"/>
      <c r="P130" s="226"/>
    </row>
    <row r="131" spans="1:18">
      <c r="B131" s="228"/>
      <c r="C131" s="726"/>
      <c r="D131" s="228"/>
      <c r="E131" s="229">
        <v>10</v>
      </c>
      <c r="F131" s="229">
        <v>20</v>
      </c>
      <c r="G131" s="229">
        <v>50</v>
      </c>
      <c r="H131" s="229">
        <v>100</v>
      </c>
      <c r="I131" s="229">
        <v>200</v>
      </c>
      <c r="J131" s="229">
        <v>500</v>
      </c>
      <c r="K131" s="229">
        <v>1000</v>
      </c>
      <c r="L131" s="229">
        <v>2000</v>
      </c>
      <c r="M131" s="229">
        <v>5000</v>
      </c>
      <c r="N131" s="229">
        <v>8000</v>
      </c>
      <c r="O131" s="229">
        <v>10000</v>
      </c>
      <c r="P131" s="237"/>
      <c r="Q131" s="253" t="e">
        <f>INDEX(E131:O131,MATCH(D130,E131:O131,1))</f>
        <v>#REF!</v>
      </c>
      <c r="R131" s="254" t="e">
        <f>INDEX(E131:O131,MATCH(D130,E131:O131,1)+1)</f>
        <v>#REF!</v>
      </c>
    </row>
    <row r="132" spans="1:18">
      <c r="A132" s="230"/>
      <c r="B132" s="224" t="e">
        <f>$B$5</f>
        <v>#REF!</v>
      </c>
      <c r="D132" s="232" t="e">
        <f>IF($D$130&lt;=$E$131,E132,ROUND(FORECAST($D$130,Q132:R132,$Q$131:$R$131),3))</f>
        <v>#REF!</v>
      </c>
      <c r="E132" s="233">
        <v>3.2850000000000001</v>
      </c>
      <c r="F132" s="233">
        <v>2.8530000000000002</v>
      </c>
      <c r="G132" s="233">
        <v>2.4350000000000001</v>
      </c>
      <c r="H132" s="233">
        <v>1.845</v>
      </c>
      <c r="I132" s="233">
        <v>1.546</v>
      </c>
      <c r="J132" s="233">
        <v>1.1879999999999999</v>
      </c>
      <c r="K132" s="233">
        <v>0.79700000000000004</v>
      </c>
      <c r="L132" s="233">
        <v>0.69399999999999995</v>
      </c>
      <c r="M132" s="233">
        <v>0.62</v>
      </c>
      <c r="N132" s="233">
        <v>0.53</v>
      </c>
      <c r="O132" s="233">
        <v>0.47799999999999998</v>
      </c>
      <c r="P132" s="238"/>
      <c r="Q132" s="252" t="e">
        <f>INDEX(E132:O132,MATCH($D$130,$E$131:$O$131,1))</f>
        <v>#REF!</v>
      </c>
      <c r="R132" s="252" t="e">
        <f>INDEX(E132:O132,MATCH($D$130,$E$131:$O$131,1)+1)</f>
        <v>#REF!</v>
      </c>
    </row>
    <row r="133" spans="1:18">
      <c r="A133" s="234"/>
      <c r="B133" s="224" t="e">
        <f>$B$6</f>
        <v>#REF!</v>
      </c>
      <c r="D133" s="232" t="e">
        <f>IF($D$130&lt;=$E$131,E133,ROUND(FORECAST($D$130,Q133:R133,$Q$131:$R$131),3))</f>
        <v>#REF!</v>
      </c>
      <c r="E133" s="233">
        <v>3.508</v>
      </c>
      <c r="F133" s="233">
        <v>3.137</v>
      </c>
      <c r="G133" s="233">
        <v>2.5590000000000002</v>
      </c>
      <c r="H133" s="233">
        <v>2.0739999999999998</v>
      </c>
      <c r="I133" s="233">
        <v>1.6040000000000001</v>
      </c>
      <c r="J133" s="233">
        <v>1.3009999999999999</v>
      </c>
      <c r="K133" s="233">
        <v>0.82299999999999995</v>
      </c>
      <c r="L133" s="233">
        <v>0.71599999999999997</v>
      </c>
      <c r="M133" s="233">
        <v>0.64</v>
      </c>
      <c r="N133" s="233">
        <v>0.55000000000000004</v>
      </c>
      <c r="O133" s="233">
        <v>0.49299999999999999</v>
      </c>
      <c r="P133" s="238"/>
      <c r="Q133" s="252" t="e">
        <f>INDEX(E133:O133,MATCH($D$130,$E$131:$O$131,1))</f>
        <v>#REF!</v>
      </c>
      <c r="R133" s="252" t="e">
        <f>INDEX(E133:O133,MATCH($D$130,$E$131:$O$131,1)+1)</f>
        <v>#REF!</v>
      </c>
    </row>
    <row r="134" spans="1:18">
      <c r="A134" s="235"/>
      <c r="B134" s="224" t="e">
        <f>$B$7</f>
        <v>#REF!</v>
      </c>
      <c r="D134" s="232" t="e">
        <f>IF($D$130&lt;=$E$131,E134,ROUND(FORECAST($D$130,Q134:R134,$Q$131:$R$131),3))</f>
        <v>#REF!</v>
      </c>
      <c r="E134" s="233">
        <v>3.2029999999999998</v>
      </c>
      <c r="F134" s="233">
        <v>2.7</v>
      </c>
      <c r="G134" s="233">
        <v>2.3559999999999999</v>
      </c>
      <c r="H134" s="233">
        <v>1.714</v>
      </c>
      <c r="I134" s="233">
        <v>1.272</v>
      </c>
      <c r="J134" s="233">
        <v>1.0029999999999999</v>
      </c>
      <c r="K134" s="233">
        <v>0.73099999999999998</v>
      </c>
      <c r="L134" s="233">
        <v>0.63600000000000001</v>
      </c>
      <c r="M134" s="233">
        <v>0.55000000000000004</v>
      </c>
      <c r="N134" s="233">
        <v>0.48</v>
      </c>
      <c r="O134" s="233">
        <v>0.438</v>
      </c>
      <c r="P134" s="238"/>
      <c r="Q134" s="252" t="e">
        <f>INDEX(E134:O134,MATCH($D$130,$E$131:$O$131,1))</f>
        <v>#REF!</v>
      </c>
      <c r="R134" s="252" t="e">
        <f>INDEX(E134:O134,MATCH($D$130,$E$131:$O$131,1)+1)</f>
        <v>#REF!</v>
      </c>
    </row>
    <row r="135" spans="1:18">
      <c r="A135" s="234"/>
      <c r="B135" s="224" t="e">
        <f>$B$8</f>
        <v>#REF!</v>
      </c>
      <c r="D135" s="232" t="e">
        <f>IF($D$130&lt;=$E$131,E135,ROUND(FORECAST($D$130,Q135:R135,$Q$131:$R$131),3))</f>
        <v>#REF!</v>
      </c>
      <c r="E135" s="233">
        <v>2.5979999999999999</v>
      </c>
      <c r="F135" s="233">
        <v>2.2919999999999998</v>
      </c>
      <c r="G135" s="233">
        <v>2.0750000000000002</v>
      </c>
      <c r="H135" s="233">
        <v>1.5449999999999999</v>
      </c>
      <c r="I135" s="233">
        <v>1.1890000000000001</v>
      </c>
      <c r="J135" s="233">
        <v>0.95</v>
      </c>
      <c r="K135" s="233">
        <v>0.63100000000000001</v>
      </c>
      <c r="L135" s="233">
        <v>0.55000000000000004</v>
      </c>
      <c r="M135" s="233">
        <v>0.49</v>
      </c>
      <c r="N135" s="233">
        <v>0.42</v>
      </c>
      <c r="O135" s="233">
        <v>0.378</v>
      </c>
      <c r="P135" s="238"/>
      <c r="Q135" s="252" t="e">
        <f>INDEX(E135:O135,MATCH($D$130,$E$131:$O$131,1))</f>
        <v>#REF!</v>
      </c>
      <c r="R135" s="252" t="e">
        <f>INDEX(E135:O135,MATCH($D$130,$E$131:$O$131,1)+1)</f>
        <v>#REF!</v>
      </c>
    </row>
    <row r="136" spans="1:18">
      <c r="A136" s="236"/>
      <c r="B136" s="224" t="e">
        <f>$B$9</f>
        <v>#REF!</v>
      </c>
      <c r="D136" s="232" t="e">
        <f>IF($D$130&lt;=$E$131,E136,ROUND(FORECAST($D$130,Q136:R136,$Q$131:$R$131),3))</f>
        <v>#REF!</v>
      </c>
      <c r="E136" s="233">
        <v>2.5659999999999998</v>
      </c>
      <c r="F136" s="233">
        <v>2.2559999999999998</v>
      </c>
      <c r="G136" s="233">
        <v>1.984</v>
      </c>
      <c r="H136" s="233">
        <v>1.4610000000000001</v>
      </c>
      <c r="I136" s="233">
        <v>1.1419999999999999</v>
      </c>
      <c r="J136" s="233">
        <v>0.91200000000000003</v>
      </c>
      <c r="K136" s="233">
        <v>0.58399999999999996</v>
      </c>
      <c r="L136" s="233">
        <v>0.50900000000000001</v>
      </c>
      <c r="M136" s="233">
        <v>0.45200000000000001</v>
      </c>
      <c r="N136" s="233">
        <v>0.39</v>
      </c>
      <c r="O136" s="233">
        <v>0.35</v>
      </c>
      <c r="P136" s="238"/>
      <c r="Q136" s="252" t="e">
        <f>INDEX(E136:O136,MATCH($D$130,$E$131:$O$131,1))</f>
        <v>#REF!</v>
      </c>
      <c r="R136" s="252" t="e">
        <f>INDEX(E136:O136,MATCH($D$130,$E$131:$O$131,1)+1)</f>
        <v>#REF!</v>
      </c>
    </row>
    <row r="137" spans="1:18">
      <c r="A137" s="225" t="s">
        <v>153</v>
      </c>
      <c r="B137" s="226" t="s">
        <v>154</v>
      </c>
    </row>
    <row r="138" spans="1:18">
      <c r="B138" s="226"/>
      <c r="C138" s="726" t="s">
        <v>116</v>
      </c>
      <c r="D138" s="255" t="e">
        <f>D122</f>
        <v>#REF!</v>
      </c>
      <c r="E138" s="227" t="s">
        <v>150</v>
      </c>
      <c r="F138" s="226"/>
      <c r="G138" s="226"/>
      <c r="H138" s="226"/>
      <c r="I138" s="226"/>
      <c r="J138" s="226"/>
      <c r="K138" s="226"/>
      <c r="L138" s="226"/>
      <c r="M138" s="226"/>
      <c r="N138" s="226"/>
      <c r="O138" s="226"/>
      <c r="P138" s="226"/>
    </row>
    <row r="139" spans="1:18">
      <c r="B139" s="228"/>
      <c r="C139" s="726"/>
      <c r="D139" s="228"/>
      <c r="E139" s="229">
        <v>10</v>
      </c>
      <c r="F139" s="229">
        <v>20</v>
      </c>
      <c r="G139" s="229">
        <v>50</v>
      </c>
      <c r="H139" s="229">
        <v>100</v>
      </c>
      <c r="I139" s="229">
        <v>200</v>
      </c>
      <c r="J139" s="229">
        <v>500</v>
      </c>
      <c r="K139" s="229">
        <v>1000</v>
      </c>
      <c r="L139" s="229">
        <v>2000</v>
      </c>
      <c r="M139" s="229">
        <v>5000</v>
      </c>
      <c r="N139" s="229">
        <v>8000</v>
      </c>
      <c r="O139" s="229">
        <v>10000</v>
      </c>
      <c r="P139" s="237"/>
      <c r="Q139" s="253" t="e">
        <f>INDEX(E139:O139,MATCH(D138,E139:O139,1))</f>
        <v>#REF!</v>
      </c>
      <c r="R139" s="254" t="e">
        <f>INDEX(E139:O139,MATCH(D138,E139:O139,1)+1)</f>
        <v>#REF!</v>
      </c>
    </row>
    <row r="140" spans="1:18">
      <c r="A140" s="230"/>
      <c r="B140" s="224" t="e">
        <f>$B$5</f>
        <v>#REF!</v>
      </c>
      <c r="D140" s="232" t="e">
        <f>IF($D$138&lt;=$E$139,E140,ROUND(FORECAST($D$138,Q140:R140,$Q$139:$R$139),3))</f>
        <v>#REF!</v>
      </c>
      <c r="E140" s="233">
        <v>0.84399999999999997</v>
      </c>
      <c r="F140" s="233">
        <v>0.71499999999999997</v>
      </c>
      <c r="G140" s="233">
        <v>0.59599999999999997</v>
      </c>
      <c r="H140" s="233">
        <v>0.39400000000000002</v>
      </c>
      <c r="I140" s="233">
        <v>0.30499999999999999</v>
      </c>
      <c r="J140" s="233">
        <v>0.26100000000000001</v>
      </c>
      <c r="K140" s="233">
        <v>0.17599999999999999</v>
      </c>
      <c r="L140" s="233">
        <v>0.153</v>
      </c>
      <c r="M140" s="233">
        <v>0.13200000000000001</v>
      </c>
      <c r="N140" s="233">
        <v>0.112</v>
      </c>
      <c r="O140" s="233">
        <v>0.11</v>
      </c>
      <c r="P140" s="238"/>
      <c r="Q140" s="252" t="e">
        <f>INDEX(E140:O140,MATCH($D$138,$E$139:$O$139,1))</f>
        <v>#REF!</v>
      </c>
      <c r="R140" s="252" t="e">
        <f>INDEX(E140:O140,MATCH($D$138,$E$139:$O$139,1)+1)</f>
        <v>#REF!</v>
      </c>
    </row>
    <row r="141" spans="1:18">
      <c r="A141" s="234"/>
      <c r="B141" s="224" t="e">
        <f>$B$6</f>
        <v>#REF!</v>
      </c>
      <c r="D141" s="232" t="e">
        <f>IF($D$138&lt;=$E$139,E141,ROUND(FORECAST($D$138,Q141:R141,$Q$139:$R$139),3))</f>
        <v>#REF!</v>
      </c>
      <c r="E141" s="233">
        <v>1.147</v>
      </c>
      <c r="F141" s="233">
        <v>1.0049999999999999</v>
      </c>
      <c r="G141" s="233">
        <v>0.95799999999999996</v>
      </c>
      <c r="H141" s="233">
        <v>0.81100000000000005</v>
      </c>
      <c r="I141" s="233">
        <v>0.49</v>
      </c>
      <c r="J141" s="233">
        <v>0.42199999999999999</v>
      </c>
      <c r="K141" s="233">
        <v>0.35599999999999998</v>
      </c>
      <c r="L141" s="233">
        <v>0.309</v>
      </c>
      <c r="M141" s="233">
        <v>0.27</v>
      </c>
      <c r="N141" s="233">
        <v>0.23</v>
      </c>
      <c r="O141" s="233">
        <v>0.21</v>
      </c>
      <c r="P141" s="238"/>
      <c r="Q141" s="252" t="e">
        <f>INDEX(E141:O141,MATCH($D$138,$E$139:$O$139,1))</f>
        <v>#REF!</v>
      </c>
      <c r="R141" s="252" t="e">
        <f>INDEX(E141:O141,MATCH($D$138,$E$139:$O$139,1)+1)</f>
        <v>#REF!</v>
      </c>
    </row>
    <row r="142" spans="1:18">
      <c r="A142" s="235"/>
      <c r="B142" s="224" t="e">
        <f>$B$7</f>
        <v>#REF!</v>
      </c>
      <c r="D142" s="232" t="e">
        <f>IF($D$138&lt;=$E$139,E142,ROUND(FORECAST($D$138,Q142:R142,$Q$139:$R$139),3))</f>
        <v>#REF!</v>
      </c>
      <c r="E142" s="233">
        <v>0.67700000000000005</v>
      </c>
      <c r="F142" s="233">
        <v>0.57999999999999996</v>
      </c>
      <c r="G142" s="233">
        <v>0.48599999999999999</v>
      </c>
      <c r="H142" s="233">
        <v>0.32</v>
      </c>
      <c r="I142" s="233">
        <v>0.26100000000000001</v>
      </c>
      <c r="J142" s="233">
        <v>0.217</v>
      </c>
      <c r="K142" s="233">
        <v>0.14599999999999999</v>
      </c>
      <c r="L142" s="233">
        <v>0.127</v>
      </c>
      <c r="M142" s="233">
        <v>0.11</v>
      </c>
      <c r="N142" s="233">
        <v>9.1999999999999998E-2</v>
      </c>
      <c r="O142" s="233">
        <v>8.5000000000000006E-2</v>
      </c>
      <c r="P142" s="238"/>
      <c r="Q142" s="252" t="e">
        <f>INDEX(E142:O142,MATCH($D$138,$E$139:$O$139,1))</f>
        <v>#REF!</v>
      </c>
      <c r="R142" s="252" t="e">
        <f>INDEX(E142:O142,MATCH($D$138,$E$139:$O$139,1)+1)</f>
        <v>#REF!</v>
      </c>
    </row>
    <row r="143" spans="1:18">
      <c r="A143" s="234"/>
      <c r="B143" s="224" t="e">
        <f>$B$8</f>
        <v>#REF!</v>
      </c>
      <c r="D143" s="232" t="e">
        <f>IF($D$138&lt;=$E$139,E143,ROUND(FORECAST($D$138,Q143:R143,$Q$139:$R$139),3))</f>
        <v>#REF!</v>
      </c>
      <c r="E143" s="233">
        <v>0.71799999999999997</v>
      </c>
      <c r="F143" s="233">
        <v>0.58499999999999996</v>
      </c>
      <c r="G143" s="233">
        <v>0.52</v>
      </c>
      <c r="H143" s="233">
        <v>0.34399999999999997</v>
      </c>
      <c r="I143" s="233">
        <v>0.27600000000000002</v>
      </c>
      <c r="J143" s="233">
        <v>0.23200000000000001</v>
      </c>
      <c r="K143" s="233">
        <v>0.159</v>
      </c>
      <c r="L143" s="233">
        <v>0.13800000000000001</v>
      </c>
      <c r="M143" s="233">
        <v>0.12</v>
      </c>
      <c r="N143" s="233">
        <v>9.8000000000000004E-2</v>
      </c>
      <c r="O143" s="233">
        <v>9.0999999999999998E-2</v>
      </c>
      <c r="P143" s="238"/>
      <c r="Q143" s="252" t="e">
        <f>INDEX(E143:O143,MATCH($D$138,$E$139:$O$139,1))</f>
        <v>#REF!</v>
      </c>
      <c r="R143" s="252" t="e">
        <f>INDEX(E143:O143,MATCH($D$138,$E$139:$O$139,1)+1)</f>
        <v>#REF!</v>
      </c>
    </row>
    <row r="144" spans="1:18">
      <c r="A144" s="236"/>
      <c r="B144" s="224" t="e">
        <f>$B$9</f>
        <v>#REF!</v>
      </c>
      <c r="D144" s="232" t="e">
        <f>IF($D$138&lt;=$E$139,E144,ROUND(FORECAST($D$138,Q144:R144,$Q$139:$R$139),3))</f>
        <v>#REF!</v>
      </c>
      <c r="E144" s="233">
        <v>0.80300000000000005</v>
      </c>
      <c r="F144" s="233">
        <v>0.69</v>
      </c>
      <c r="G144" s="233">
        <v>0.57499999999999996</v>
      </c>
      <c r="H144" s="233">
        <v>0.38300000000000001</v>
      </c>
      <c r="I144" s="233">
        <v>0.3</v>
      </c>
      <c r="J144" s="233">
        <v>0.26100000000000001</v>
      </c>
      <c r="K144" s="233">
        <v>0.17299999999999999</v>
      </c>
      <c r="L144" s="233">
        <v>0.15</v>
      </c>
      <c r="M144" s="233">
        <v>0.126</v>
      </c>
      <c r="N144" s="233">
        <v>0.105</v>
      </c>
      <c r="O144" s="233">
        <v>9.5000000000000001E-2</v>
      </c>
      <c r="P144" s="238"/>
      <c r="Q144" s="252" t="e">
        <f>INDEX(E144:O144,MATCH($D$138,$E$139:$O$139,1))</f>
        <v>#REF!</v>
      </c>
      <c r="R144" s="252" t="e">
        <f>INDEX(E144:O144,MATCH($D$138,$E$139:$O$139,1)+1)</f>
        <v>#REF!</v>
      </c>
    </row>
    <row r="145" spans="1:18">
      <c r="A145" s="225" t="s">
        <v>155</v>
      </c>
      <c r="B145" s="226" t="s">
        <v>156</v>
      </c>
    </row>
    <row r="146" spans="1:18">
      <c r="B146" s="226"/>
      <c r="C146" s="225" t="s">
        <v>157</v>
      </c>
      <c r="D146" s="255" t="e">
        <f>#REF!/10^9</f>
        <v>#REF!</v>
      </c>
      <c r="E146" s="227" t="s">
        <v>158</v>
      </c>
      <c r="F146" s="226"/>
      <c r="G146" s="226"/>
      <c r="H146" s="226"/>
      <c r="I146" s="226"/>
      <c r="J146" s="226"/>
      <c r="K146" s="226"/>
      <c r="L146" s="226"/>
      <c r="M146" s="226"/>
      <c r="N146" s="226"/>
      <c r="O146" s="226"/>
      <c r="P146" s="226"/>
    </row>
    <row r="147" spans="1:18">
      <c r="B147" s="228"/>
      <c r="C147" s="241"/>
      <c r="D147" s="228"/>
      <c r="E147" s="229">
        <v>1</v>
      </c>
      <c r="F147" s="229">
        <v>5</v>
      </c>
      <c r="G147" s="229">
        <v>10</v>
      </c>
      <c r="H147" s="229">
        <v>20</v>
      </c>
      <c r="I147" s="229">
        <v>50</v>
      </c>
      <c r="J147" s="237"/>
      <c r="K147" s="237"/>
      <c r="L147" s="237"/>
      <c r="M147" s="237"/>
      <c r="N147" s="237"/>
      <c r="O147" s="237"/>
      <c r="P147" s="237"/>
      <c r="Q147" s="253" t="e">
        <f>INDEX(E147:I147,MATCH(D146,E147:I147,1))</f>
        <v>#REF!</v>
      </c>
      <c r="R147" s="254" t="e">
        <f>INDEX(E147:I147,MATCH(D146,E147:I147,1)+1)</f>
        <v>#REF!</v>
      </c>
    </row>
    <row r="148" spans="1:18">
      <c r="A148" s="230"/>
      <c r="B148" s="231"/>
      <c r="D148" s="232" t="e">
        <f>IF($D$146&lt;=$E$147,E148,ROUND(FORECAST($D$146,Q148:R148,$Q$147:$R$147),3))</f>
        <v>#REF!</v>
      </c>
      <c r="E148" s="233">
        <v>4.0720000000000001</v>
      </c>
      <c r="F148" s="233">
        <v>3.5409999999999999</v>
      </c>
      <c r="G148" s="233">
        <v>3.0790000000000002</v>
      </c>
      <c r="H148" s="233">
        <v>2.7069999999999999</v>
      </c>
      <c r="I148" s="233">
        <v>2.3809999999999998</v>
      </c>
      <c r="J148" s="238"/>
      <c r="K148" s="238"/>
      <c r="L148" s="238"/>
      <c r="M148" s="238"/>
      <c r="N148" s="238"/>
      <c r="O148" s="238"/>
      <c r="P148" s="238"/>
      <c r="Q148" s="252" t="e">
        <f>INDEX(E148:I148,MATCH($D$146,$E$147:$I$147,1))</f>
        <v>#REF!</v>
      </c>
      <c r="R148" s="252" t="e">
        <f>INDEX(E148:I148,MATCH($D$146,$E$147:$I$147,1)+1)</f>
        <v>#REF!</v>
      </c>
    </row>
    <row r="149" spans="1:18">
      <c r="B149" s="226"/>
      <c r="C149" s="225" t="s">
        <v>159</v>
      </c>
      <c r="D149" s="255" t="e">
        <f>#REF!/10^9</f>
        <v>#REF!</v>
      </c>
      <c r="E149" s="227" t="s">
        <v>158</v>
      </c>
      <c r="F149" s="226"/>
      <c r="G149" s="226"/>
      <c r="H149" s="226"/>
      <c r="I149" s="226"/>
      <c r="J149" s="226"/>
      <c r="K149" s="226"/>
      <c r="L149" s="226"/>
      <c r="M149" s="226"/>
      <c r="N149" s="226"/>
      <c r="O149" s="226"/>
      <c r="P149" s="226"/>
    </row>
    <row r="150" spans="1:18">
      <c r="B150" s="228"/>
      <c r="C150" s="241"/>
      <c r="D150" s="228"/>
      <c r="E150" s="229">
        <v>1</v>
      </c>
      <c r="F150" s="229">
        <v>5</v>
      </c>
      <c r="G150" s="229">
        <v>10</v>
      </c>
      <c r="H150" s="229">
        <v>20</v>
      </c>
      <c r="I150" s="229">
        <v>50</v>
      </c>
      <c r="J150" s="237"/>
      <c r="K150" s="237"/>
      <c r="L150" s="237"/>
      <c r="M150" s="237"/>
      <c r="N150" s="237"/>
      <c r="O150" s="237"/>
      <c r="P150" s="237"/>
      <c r="Q150" s="253" t="e">
        <f>INDEX(E150:I150,MATCH(D149,E150:I150,1))</f>
        <v>#REF!</v>
      </c>
      <c r="R150" s="254" t="e">
        <f>INDEX(E150:I150,MATCH(D149,E150:I150,1)+1)</f>
        <v>#REF!</v>
      </c>
    </row>
    <row r="151" spans="1:18">
      <c r="A151" s="230"/>
      <c r="B151" s="231"/>
      <c r="D151" s="232" t="e">
        <f>IF($D$149&lt;=$E$150,E151,ROUND(FORECAST($D$149,Q151:R151,$Q$147:$R$147),3))</f>
        <v>#REF!</v>
      </c>
      <c r="E151" s="233">
        <v>4.0720000000000001</v>
      </c>
      <c r="F151" s="233">
        <v>3.5409999999999999</v>
      </c>
      <c r="G151" s="233">
        <v>3.0790000000000002</v>
      </c>
      <c r="H151" s="233">
        <v>2.7069999999999999</v>
      </c>
      <c r="I151" s="233">
        <v>2.3809999999999998</v>
      </c>
      <c r="J151" s="238"/>
      <c r="K151" s="238"/>
      <c r="L151" s="238"/>
      <c r="M151" s="238"/>
      <c r="N151" s="238"/>
      <c r="O151" s="238"/>
      <c r="P151" s="238"/>
      <c r="Q151" s="252" t="e">
        <f>INDEX(E151:I151,MATCH($D$149,$E$150:$I$150,1))</f>
        <v>#REF!</v>
      </c>
      <c r="R151" s="252" t="e">
        <f>INDEX(E151:I151,MATCH($D$149,$E$150:$I$150,1)+1)</f>
        <v>#REF!</v>
      </c>
    </row>
    <row r="152" spans="1:18">
      <c r="A152" s="221" t="s">
        <v>160</v>
      </c>
      <c r="B152" s="222"/>
      <c r="C152" s="222"/>
      <c r="D152" s="223"/>
      <c r="E152" s="222"/>
      <c r="F152" s="222"/>
      <c r="G152" s="222"/>
    </row>
    <row r="153" spans="1:18">
      <c r="A153" s="225" t="s">
        <v>161</v>
      </c>
      <c r="B153" s="226" t="s">
        <v>162</v>
      </c>
    </row>
    <row r="154" spans="1:18">
      <c r="B154" s="226"/>
      <c r="C154" s="726" t="s">
        <v>116</v>
      </c>
      <c r="D154" s="255" t="e">
        <f>D130</f>
        <v>#REF!</v>
      </c>
      <c r="E154" s="227" t="s">
        <v>138</v>
      </c>
      <c r="F154" s="226"/>
      <c r="G154" s="226"/>
      <c r="H154" s="226"/>
      <c r="I154" s="226"/>
      <c r="J154" s="226"/>
      <c r="K154" s="226"/>
      <c r="L154" s="226"/>
      <c r="M154" s="226"/>
      <c r="N154" s="226"/>
      <c r="O154" s="226"/>
      <c r="P154" s="226"/>
    </row>
    <row r="155" spans="1:18">
      <c r="B155" s="228"/>
      <c r="C155" s="726"/>
      <c r="D155" s="228"/>
      <c r="E155" s="229">
        <v>15</v>
      </c>
      <c r="F155" s="229">
        <v>50</v>
      </c>
      <c r="G155" s="229">
        <v>100</v>
      </c>
      <c r="H155" s="229">
        <v>200</v>
      </c>
      <c r="I155" s="229">
        <v>500</v>
      </c>
      <c r="J155" s="229">
        <v>1000</v>
      </c>
      <c r="K155" s="229">
        <v>2000</v>
      </c>
      <c r="L155" s="229">
        <v>5000</v>
      </c>
      <c r="M155" s="229">
        <v>8000</v>
      </c>
      <c r="N155" s="237"/>
      <c r="O155" s="237"/>
      <c r="P155" s="237"/>
      <c r="Q155" s="253" t="e">
        <f>INDEX(E155:M155,MATCH(D154,E155:M155,1))</f>
        <v>#REF!</v>
      </c>
      <c r="R155" s="254" t="e">
        <f>INDEX(E155:M155,MATCH(D154,E155:M155,1)+1)</f>
        <v>#REF!</v>
      </c>
    </row>
    <row r="156" spans="1:18">
      <c r="A156" s="230"/>
      <c r="B156" s="224" t="e">
        <f>$B$5</f>
        <v>#REF!</v>
      </c>
      <c r="D156" s="242" t="e">
        <f>IF($D$154&lt;=$E$155,E156,ROUND(FORECAST($D$154,Q156:R156,$Q$155:$R$155),4))</f>
        <v>#REF!</v>
      </c>
      <c r="E156" s="243">
        <v>0.16500000000000001</v>
      </c>
      <c r="F156" s="243">
        <v>0.11</v>
      </c>
      <c r="G156" s="243">
        <v>8.5000000000000006E-2</v>
      </c>
      <c r="H156" s="243">
        <v>6.5000000000000002E-2</v>
      </c>
      <c r="I156" s="243">
        <v>0.05</v>
      </c>
      <c r="J156" s="243">
        <v>4.1000000000000002E-2</v>
      </c>
      <c r="K156" s="243">
        <v>2.9000000000000001E-2</v>
      </c>
      <c r="L156" s="243">
        <v>2.1999999999999999E-2</v>
      </c>
      <c r="M156" s="243">
        <v>1.9E-2</v>
      </c>
      <c r="N156" s="238"/>
      <c r="O156" s="238"/>
      <c r="P156" s="238"/>
      <c r="Q156" s="252" t="e">
        <f>INDEX(E156:M156,MATCH($D$154,$E$155:$M$155,1))</f>
        <v>#REF!</v>
      </c>
      <c r="R156" s="252" t="e">
        <f>INDEX(E156:M156,MATCH($D$154,$E$155:$M$155,1)+1)</f>
        <v>#REF!</v>
      </c>
    </row>
    <row r="157" spans="1:18">
      <c r="A157" s="234"/>
      <c r="B157" s="224" t="e">
        <f>$B$6</f>
        <v>#REF!</v>
      </c>
      <c r="D157" s="242" t="e">
        <f>IF($D$154&lt;=$E$155,E157,ROUND(FORECAST($D$154,Q157:R157,$Q$155:$R$155),4))</f>
        <v>#REF!</v>
      </c>
      <c r="E157" s="243">
        <v>0.19</v>
      </c>
      <c r="F157" s="243">
        <v>0.126</v>
      </c>
      <c r="G157" s="243">
        <v>9.7000000000000003E-2</v>
      </c>
      <c r="H157" s="243">
        <v>7.4999999999999997E-2</v>
      </c>
      <c r="I157" s="243">
        <v>5.8000000000000003E-2</v>
      </c>
      <c r="J157" s="243">
        <v>4.3999999999999997E-2</v>
      </c>
      <c r="K157" s="243">
        <v>3.5000000000000003E-2</v>
      </c>
      <c r="L157" s="243">
        <v>2.5999999999999999E-2</v>
      </c>
      <c r="M157" s="243">
        <v>2.1999999999999999E-2</v>
      </c>
      <c r="N157" s="238"/>
      <c r="O157" s="238"/>
      <c r="P157" s="238"/>
      <c r="Q157" s="252" t="e">
        <f>INDEX(E157:M157,MATCH($D$154,$E$155:$M$155,1))</f>
        <v>#REF!</v>
      </c>
      <c r="R157" s="252" t="e">
        <f>INDEX(E157:M157,MATCH($D$154,$E$155:$M$155,1)+1)</f>
        <v>#REF!</v>
      </c>
    </row>
    <row r="158" spans="1:18">
      <c r="A158" s="235"/>
      <c r="B158" s="224" t="e">
        <f>$B$7</f>
        <v>#REF!</v>
      </c>
      <c r="D158" s="242" t="e">
        <f>IF($D$154&lt;=$E$155,E158,ROUND(FORECAST($D$154,Q158:R158,$Q$155:$R$155),4))</f>
        <v>#REF!</v>
      </c>
      <c r="E158" s="243">
        <v>0.109</v>
      </c>
      <c r="F158" s="243">
        <v>7.1999999999999995E-2</v>
      </c>
      <c r="G158" s="243">
        <v>5.5E-2</v>
      </c>
      <c r="H158" s="243">
        <v>4.2999999999999997E-2</v>
      </c>
      <c r="I158" s="243">
        <v>3.3000000000000002E-2</v>
      </c>
      <c r="J158" s="243">
        <v>2.5000000000000001E-2</v>
      </c>
      <c r="K158" s="243">
        <v>2.1000000000000001E-2</v>
      </c>
      <c r="L158" s="243">
        <v>1.6E-2</v>
      </c>
      <c r="M158" s="243">
        <v>1.4E-2</v>
      </c>
      <c r="N158" s="238"/>
      <c r="O158" s="238"/>
      <c r="P158" s="238"/>
      <c r="Q158" s="252" t="e">
        <f>INDEX(E158:M158,MATCH($D$154,$E$155:$M$155,1))</f>
        <v>#REF!</v>
      </c>
      <c r="R158" s="252" t="e">
        <f>INDEX(E158:M158,MATCH($D$154,$E$155:$M$155,1)+1)</f>
        <v>#REF!</v>
      </c>
    </row>
    <row r="159" spans="1:18">
      <c r="A159" s="234"/>
      <c r="B159" s="224" t="e">
        <f>$B$8</f>
        <v>#REF!</v>
      </c>
      <c r="D159" s="242" t="e">
        <f>IF($D$154&lt;=$E$155,E159,ROUND(FORECAST($D$154,Q159:R159,$Q$155:$R$155),4))</f>
        <v>#REF!</v>
      </c>
      <c r="E159" s="243">
        <v>0.121</v>
      </c>
      <c r="F159" s="243">
        <v>0.08</v>
      </c>
      <c r="G159" s="243">
        <v>6.0999999999999999E-2</v>
      </c>
      <c r="H159" s="243">
        <v>4.8000000000000001E-2</v>
      </c>
      <c r="I159" s="243">
        <v>3.6999999999999998E-2</v>
      </c>
      <c r="J159" s="243">
        <v>2.8000000000000001E-2</v>
      </c>
      <c r="K159" s="243">
        <v>2.3E-2</v>
      </c>
      <c r="L159" s="243">
        <v>1.7000000000000001E-2</v>
      </c>
      <c r="M159" s="243">
        <v>1.4E-2</v>
      </c>
      <c r="N159" s="238"/>
      <c r="O159" s="238"/>
      <c r="P159" s="238"/>
      <c r="Q159" s="252" t="e">
        <f>INDEX(E159:M159,MATCH($D$154,$E$155:$M$155,1))</f>
        <v>#REF!</v>
      </c>
      <c r="R159" s="252" t="e">
        <f>INDEX(E159:M159,MATCH($D$154,$E$155:$M$155,1)+1)</f>
        <v>#REF!</v>
      </c>
    </row>
    <row r="160" spans="1:18">
      <c r="A160" s="236"/>
      <c r="B160" s="224" t="e">
        <f>$B$9</f>
        <v>#REF!</v>
      </c>
      <c r="D160" s="242" t="e">
        <f>IF($D$154&lt;=$E$155,E160,ROUND(FORECAST($D$154,Q160:R160,$Q$155:$R$155),4))</f>
        <v>#REF!</v>
      </c>
      <c r="E160" s="243">
        <v>0.126</v>
      </c>
      <c r="F160" s="243">
        <v>8.5000000000000006E-2</v>
      </c>
      <c r="G160" s="243">
        <v>6.5000000000000002E-2</v>
      </c>
      <c r="H160" s="243">
        <v>0.05</v>
      </c>
      <c r="I160" s="243">
        <v>3.9E-2</v>
      </c>
      <c r="J160" s="243">
        <v>0.03</v>
      </c>
      <c r="K160" s="243">
        <v>2.5999999999999999E-2</v>
      </c>
      <c r="L160" s="243">
        <v>1.9E-2</v>
      </c>
      <c r="M160" s="243">
        <v>1.7000000000000001E-2</v>
      </c>
      <c r="N160" s="238"/>
      <c r="O160" s="238"/>
      <c r="P160" s="238"/>
      <c r="Q160" s="252" t="e">
        <f>INDEX(E160:M160,MATCH($D$154,$E$155:$M$155,1))</f>
        <v>#REF!</v>
      </c>
      <c r="R160" s="252" t="e">
        <f>INDEX(E160:M160,MATCH($D$154,$E$155:$M$155,1)+1)</f>
        <v>#REF!</v>
      </c>
    </row>
    <row r="161" spans="1:18">
      <c r="A161" s="225" t="s">
        <v>161</v>
      </c>
      <c r="B161" s="226" t="s">
        <v>163</v>
      </c>
    </row>
    <row r="162" spans="1:18">
      <c r="B162" s="226"/>
      <c r="C162" s="726" t="s">
        <v>116</v>
      </c>
      <c r="D162" s="255" t="e">
        <f>D154</f>
        <v>#REF!</v>
      </c>
      <c r="E162" s="227" t="s">
        <v>138</v>
      </c>
      <c r="F162" s="226"/>
      <c r="G162" s="226"/>
      <c r="H162" s="226"/>
      <c r="I162" s="226"/>
      <c r="J162" s="226"/>
      <c r="K162" s="226"/>
      <c r="L162" s="226"/>
      <c r="M162" s="226"/>
      <c r="N162" s="226"/>
      <c r="O162" s="226"/>
      <c r="P162" s="226"/>
    </row>
    <row r="163" spans="1:18">
      <c r="C163" s="726"/>
      <c r="D163" s="228"/>
      <c r="E163" s="229">
        <v>15</v>
      </c>
      <c r="F163" s="229">
        <v>50</v>
      </c>
      <c r="G163" s="229">
        <v>100</v>
      </c>
      <c r="H163" s="229">
        <v>200</v>
      </c>
      <c r="I163" s="229">
        <v>500</v>
      </c>
      <c r="J163" s="229">
        <v>1000</v>
      </c>
      <c r="K163" s="229">
        <v>2000</v>
      </c>
      <c r="L163" s="229">
        <v>5000</v>
      </c>
      <c r="M163" s="229">
        <v>8000</v>
      </c>
      <c r="N163" s="237"/>
      <c r="O163" s="237"/>
      <c r="P163" s="237"/>
      <c r="Q163" s="253" t="e">
        <f>INDEX(E163:M163,MATCH(D162,E163:M163,1))</f>
        <v>#REF!</v>
      </c>
      <c r="R163" s="254" t="e">
        <f>INDEX(E163:M163,MATCH(D162,E163:M163,1)+1)</f>
        <v>#REF!</v>
      </c>
    </row>
    <row r="164" spans="1:18">
      <c r="A164" s="230"/>
      <c r="B164" s="224" t="e">
        <f>$B$5</f>
        <v>#REF!</v>
      </c>
      <c r="D164" s="242" t="e">
        <f>IF($D$162&lt;=$E$163,E164,ROUND(FORECAST($D$162,Q164:R164,$Q$163:$R$163),4))</f>
        <v>#REF!</v>
      </c>
      <c r="E164" s="243">
        <v>0.16</v>
      </c>
      <c r="F164" s="243">
        <v>0.106</v>
      </c>
      <c r="G164" s="243">
        <v>8.3000000000000004E-2</v>
      </c>
      <c r="H164" s="243">
        <v>6.2E-2</v>
      </c>
      <c r="I164" s="243">
        <v>4.5999999999999999E-2</v>
      </c>
      <c r="J164" s="243">
        <v>3.7999999999999999E-2</v>
      </c>
      <c r="K164" s="243">
        <v>2.8000000000000001E-2</v>
      </c>
      <c r="L164" s="243">
        <v>2.1000000000000001E-2</v>
      </c>
      <c r="M164" s="243">
        <v>1.7999999999999999E-2</v>
      </c>
      <c r="N164" s="238"/>
      <c r="O164" s="238"/>
      <c r="P164" s="238"/>
      <c r="Q164" s="252" t="e">
        <f>INDEX(E164:M164,MATCH($D$162,$E$163:$M$163,1))</f>
        <v>#REF!</v>
      </c>
      <c r="R164" s="252" t="e">
        <f>INDEX(E164:M164,MATCH($D$162,$E$163:$M$163,1)+1)</f>
        <v>#REF!</v>
      </c>
    </row>
    <row r="165" spans="1:18">
      <c r="A165" s="234"/>
      <c r="B165" s="224" t="e">
        <f>$B$6</f>
        <v>#REF!</v>
      </c>
      <c r="D165" s="242" t="e">
        <f>IF($D$162&lt;=$E$163,E165,ROUND(FORECAST($D$162,Q165:R165,$Q$163:$R$163),4))</f>
        <v>#REF!</v>
      </c>
      <c r="E165" s="243">
        <v>0.185</v>
      </c>
      <c r="F165" s="243">
        <v>0.121</v>
      </c>
      <c r="G165" s="243">
        <v>9.4E-2</v>
      </c>
      <c r="H165" s="243">
        <v>7.1999999999999995E-2</v>
      </c>
      <c r="I165" s="243">
        <v>5.5E-2</v>
      </c>
      <c r="J165" s="243">
        <v>4.1000000000000002E-2</v>
      </c>
      <c r="K165" s="243">
        <v>3.3000000000000002E-2</v>
      </c>
      <c r="L165" s="243">
        <v>2.3E-2</v>
      </c>
      <c r="M165" s="243">
        <v>0.02</v>
      </c>
      <c r="N165" s="238"/>
      <c r="O165" s="238"/>
      <c r="P165" s="238"/>
      <c r="Q165" s="252" t="e">
        <f>INDEX(E165:M165,MATCH($D$162,$E$163:$M$163,1))</f>
        <v>#REF!</v>
      </c>
      <c r="R165" s="252" t="e">
        <f>INDEX(E165:M165,MATCH($D$162,$E$163:$M$163,1)+1)</f>
        <v>#REF!</v>
      </c>
    </row>
    <row r="166" spans="1:18">
      <c r="A166" s="235"/>
      <c r="B166" s="224" t="e">
        <f>$B$7</f>
        <v>#REF!</v>
      </c>
      <c r="D166" s="242" t="e">
        <f>IF($D$162&lt;=$E$163,E166,ROUND(FORECAST($D$162,Q166:R166,$Q$163:$R$163),4))</f>
        <v>#REF!</v>
      </c>
      <c r="E166" s="243">
        <v>0.106</v>
      </c>
      <c r="F166" s="243">
        <v>6.8000000000000005E-2</v>
      </c>
      <c r="G166" s="243">
        <v>5.3999999999999999E-2</v>
      </c>
      <c r="H166" s="243">
        <v>4.1000000000000002E-2</v>
      </c>
      <c r="I166" s="243">
        <v>3.1E-2</v>
      </c>
      <c r="J166" s="243">
        <v>2.4E-2</v>
      </c>
      <c r="K166" s="243">
        <v>0.02</v>
      </c>
      <c r="L166" s="243">
        <v>1.4E-2</v>
      </c>
      <c r="M166" s="243">
        <v>1.2E-2</v>
      </c>
      <c r="N166" s="238"/>
      <c r="O166" s="238"/>
      <c r="P166" s="238"/>
      <c r="Q166" s="252" t="e">
        <f>INDEX(E166:M166,MATCH($D$162,$E$163:$M$163,1))</f>
        <v>#REF!</v>
      </c>
      <c r="R166" s="252" t="e">
        <f>INDEX(E166:M166,MATCH($D$162,$E$163:$M$163,1)+1)</f>
        <v>#REF!</v>
      </c>
    </row>
    <row r="167" spans="1:18">
      <c r="A167" s="234"/>
      <c r="B167" s="224" t="e">
        <f>$B$8</f>
        <v>#REF!</v>
      </c>
      <c r="D167" s="242" t="e">
        <f>IF($D$162&lt;=$E$163,E167,ROUND(FORECAST($D$162,Q167:R167,$Q$163:$R$163),4))</f>
        <v>#REF!</v>
      </c>
      <c r="E167" s="243">
        <v>0.11700000000000001</v>
      </c>
      <c r="F167" s="243">
        <v>7.5999999999999998E-2</v>
      </c>
      <c r="G167" s="243">
        <v>0.06</v>
      </c>
      <c r="H167" s="243">
        <v>4.5999999999999999E-2</v>
      </c>
      <c r="I167" s="243">
        <v>3.5000000000000003E-2</v>
      </c>
      <c r="J167" s="243">
        <v>2.5999999999999999E-2</v>
      </c>
      <c r="K167" s="243">
        <v>2.1999999999999999E-2</v>
      </c>
      <c r="L167" s="243">
        <v>1.6E-2</v>
      </c>
      <c r="M167" s="243">
        <v>1.4E-2</v>
      </c>
      <c r="N167" s="238"/>
      <c r="O167" s="238"/>
      <c r="P167" s="238"/>
      <c r="Q167" s="252" t="e">
        <f>INDEX(E167:M167,MATCH($D$162,$E$163:$M$163,1))</f>
        <v>#REF!</v>
      </c>
      <c r="R167" s="252" t="e">
        <f>INDEX(E167:M167,MATCH($D$162,$E$163:$M$163,1)+1)</f>
        <v>#REF!</v>
      </c>
    </row>
    <row r="168" spans="1:18">
      <c r="A168" s="236"/>
      <c r="B168" s="224" t="e">
        <f>$B$9</f>
        <v>#REF!</v>
      </c>
      <c r="D168" s="242" t="e">
        <f>IF($D$162&lt;=$E$163,E168,ROUND(FORECAST($D$162,Q168:R168,$Q$163:$R$163),4))</f>
        <v>#REF!</v>
      </c>
      <c r="E168" s="243">
        <v>0.122</v>
      </c>
      <c r="F168" s="243">
        <v>8.2000000000000003E-2</v>
      </c>
      <c r="G168" s="243">
        <v>6.2E-2</v>
      </c>
      <c r="H168" s="243">
        <v>4.7E-2</v>
      </c>
      <c r="I168" s="243">
        <v>3.6999999999999998E-2</v>
      </c>
      <c r="J168" s="243">
        <v>2.9000000000000001E-2</v>
      </c>
      <c r="K168" s="243">
        <v>2.4E-2</v>
      </c>
      <c r="L168" s="243">
        <v>1.7000000000000001E-2</v>
      </c>
      <c r="M168" s="243">
        <v>1.4E-2</v>
      </c>
      <c r="N168" s="238"/>
      <c r="O168" s="238"/>
      <c r="P168" s="238"/>
      <c r="Q168" s="252" t="e">
        <f>INDEX(E168:M168,MATCH($D$162,$E$163:$M$163,1))</f>
        <v>#REF!</v>
      </c>
      <c r="R168" s="252" t="e">
        <f>INDEX(E168:M168,MATCH($D$162,$E$163:$M$163,1)+1)</f>
        <v>#REF!</v>
      </c>
    </row>
    <row r="169" spans="1:18">
      <c r="A169" s="225" t="s">
        <v>164</v>
      </c>
      <c r="B169" s="226" t="s">
        <v>165</v>
      </c>
    </row>
    <row r="170" spans="1:18">
      <c r="B170" s="226"/>
      <c r="C170" s="726" t="s">
        <v>116</v>
      </c>
      <c r="D170" s="255" t="e">
        <f>D154</f>
        <v>#REF!</v>
      </c>
      <c r="E170" s="227" t="s">
        <v>138</v>
      </c>
      <c r="F170" s="226"/>
      <c r="G170" s="226"/>
      <c r="H170" s="226"/>
      <c r="I170" s="226"/>
      <c r="J170" s="226"/>
      <c r="K170" s="226"/>
      <c r="L170" s="226"/>
      <c r="M170" s="226"/>
      <c r="N170" s="226"/>
      <c r="O170" s="226"/>
      <c r="P170" s="226"/>
    </row>
    <row r="171" spans="1:18">
      <c r="B171" s="228"/>
      <c r="C171" s="726"/>
      <c r="D171" s="228"/>
      <c r="E171" s="229">
        <v>15</v>
      </c>
      <c r="F171" s="229">
        <v>50</v>
      </c>
      <c r="G171" s="229">
        <v>100</v>
      </c>
      <c r="H171" s="229">
        <v>200</v>
      </c>
      <c r="I171" s="229">
        <v>500</v>
      </c>
      <c r="J171" s="229">
        <v>1000</v>
      </c>
      <c r="K171" s="229">
        <v>2000</v>
      </c>
      <c r="L171" s="229">
        <v>5000</v>
      </c>
      <c r="M171" s="229">
        <v>8000</v>
      </c>
      <c r="N171" s="237"/>
      <c r="O171" s="237"/>
      <c r="P171" s="237"/>
      <c r="Q171" s="253" t="e">
        <f>INDEX(E171:M171,MATCH(D170,E171:M171,1))</f>
        <v>#REF!</v>
      </c>
      <c r="R171" s="254" t="e">
        <f>INDEX(E171:M171,MATCH(D170,E171:M171,1)+1)</f>
        <v>#REF!</v>
      </c>
    </row>
    <row r="172" spans="1:18">
      <c r="A172" s="230"/>
      <c r="B172" s="224" t="e">
        <f>$B$5</f>
        <v>#REF!</v>
      </c>
      <c r="D172" s="242" t="e">
        <f>IF($D$170&lt;=$E$171,E172,ROUND(FORECAST($D$170,Q172:R172,$Q$171:$R$171),4))</f>
        <v>#REF!</v>
      </c>
      <c r="E172" s="243">
        <v>4.9500000000000002E-2</v>
      </c>
      <c r="F172" s="243">
        <v>3.3000000000000002E-2</v>
      </c>
      <c r="G172" s="243">
        <v>2.5499999999999998E-2</v>
      </c>
      <c r="H172" s="243">
        <v>1.95E-2</v>
      </c>
      <c r="I172" s="243">
        <v>1.4999999999999999E-2</v>
      </c>
      <c r="J172" s="243">
        <v>1.23E-2</v>
      </c>
      <c r="K172" s="243">
        <v>8.6999999999999994E-3</v>
      </c>
      <c r="L172" s="243">
        <v>6.6E-3</v>
      </c>
      <c r="M172" s="243">
        <v>5.7000000000000002E-3</v>
      </c>
      <c r="N172" s="238"/>
      <c r="O172" s="238"/>
      <c r="P172" s="238"/>
      <c r="Q172" s="252" t="e">
        <f>INDEX(E172:M172,MATCH($D$170,$E$171:$M$171,1))</f>
        <v>#REF!</v>
      </c>
      <c r="R172" s="252" t="e">
        <f>INDEX(E172:M172,MATCH($D$170,$E$171:$M$171,1)+1)</f>
        <v>#REF!</v>
      </c>
    </row>
    <row r="173" spans="1:18">
      <c r="A173" s="234"/>
      <c r="B173" s="224" t="e">
        <f>$B$6</f>
        <v>#REF!</v>
      </c>
      <c r="D173" s="242" t="e">
        <f>IF($D$170&lt;=$E$171,E173,ROUND(FORECAST($D$170,Q173:R173,$Q$171:$R$171),4))</f>
        <v>#REF!</v>
      </c>
      <c r="E173" s="243">
        <v>5.7000000000000002E-2</v>
      </c>
      <c r="F173" s="243">
        <v>3.78E-2</v>
      </c>
      <c r="G173" s="243">
        <v>2.9100000000000001E-2</v>
      </c>
      <c r="H173" s="243">
        <v>2.2499999999999999E-2</v>
      </c>
      <c r="I173" s="243">
        <v>1.7399999999999999E-2</v>
      </c>
      <c r="J173" s="243">
        <v>1.32E-2</v>
      </c>
      <c r="K173" s="243">
        <v>1.0500000000000001E-2</v>
      </c>
      <c r="L173" s="243">
        <v>7.7999999999999996E-3</v>
      </c>
      <c r="M173" s="243">
        <v>6.6E-3</v>
      </c>
      <c r="N173" s="238"/>
      <c r="O173" s="238"/>
      <c r="P173" s="238"/>
      <c r="Q173" s="252" t="e">
        <f>INDEX(E173:M173,MATCH($D$170,$E$171:$M$171,1))</f>
        <v>#REF!</v>
      </c>
      <c r="R173" s="252" t="e">
        <f>INDEX(E173:M173,MATCH($D$170,$E$171:$M$171,1)+1)</f>
        <v>#REF!</v>
      </c>
    </row>
    <row r="174" spans="1:18">
      <c r="A174" s="235"/>
      <c r="B174" s="224" t="e">
        <f>$B$7</f>
        <v>#REF!</v>
      </c>
      <c r="D174" s="242" t="e">
        <f>IF($D$170&lt;=$E$171,E174,ROUND(FORECAST($D$170,Q174:R174,$Q$171:$R$171),4))</f>
        <v>#REF!</v>
      </c>
      <c r="E174" s="243">
        <v>3.27E-2</v>
      </c>
      <c r="F174" s="243">
        <v>2.1600000000000001E-2</v>
      </c>
      <c r="G174" s="243">
        <v>1.6500000000000001E-2</v>
      </c>
      <c r="H174" s="243">
        <v>1.29E-2</v>
      </c>
      <c r="I174" s="243">
        <v>9.9000000000000008E-3</v>
      </c>
      <c r="J174" s="243">
        <v>7.4999999999999997E-3</v>
      </c>
      <c r="K174" s="243">
        <v>6.3E-3</v>
      </c>
      <c r="L174" s="243">
        <v>4.7999999999999996E-3</v>
      </c>
      <c r="M174" s="243">
        <v>4.1999999999999997E-3</v>
      </c>
      <c r="N174" s="238"/>
      <c r="O174" s="238"/>
      <c r="P174" s="238"/>
      <c r="Q174" s="252" t="e">
        <f>INDEX(E174:M174,MATCH($D$170,$E$171:$M$171,1))</f>
        <v>#REF!</v>
      </c>
      <c r="R174" s="252" t="e">
        <f>INDEX(E174:M174,MATCH($D$170,$E$171:$M$171,1)+1)</f>
        <v>#REF!</v>
      </c>
    </row>
    <row r="175" spans="1:18">
      <c r="A175" s="234"/>
      <c r="B175" s="224" t="e">
        <f>$B$8</f>
        <v>#REF!</v>
      </c>
      <c r="D175" s="242" t="e">
        <f>IF($D$170&lt;=$E$171,E175,ROUND(FORECAST($D$170,Q175:R175,$Q$171:$R$171),4))</f>
        <v>#REF!</v>
      </c>
      <c r="E175" s="243">
        <v>3.6299999999999999E-2</v>
      </c>
      <c r="F175" s="243">
        <v>2.4E-2</v>
      </c>
      <c r="G175" s="243">
        <v>1.83E-2</v>
      </c>
      <c r="H175" s="243">
        <v>1.44E-2</v>
      </c>
      <c r="I175" s="243">
        <v>1.11E-2</v>
      </c>
      <c r="J175" s="243">
        <v>8.3999999999999995E-3</v>
      </c>
      <c r="K175" s="243">
        <v>6.8999999999999999E-3</v>
      </c>
      <c r="L175" s="243">
        <v>5.1000000000000004E-3</v>
      </c>
      <c r="M175" s="243">
        <v>4.1999999999999997E-3</v>
      </c>
      <c r="N175" s="238"/>
      <c r="O175" s="238"/>
      <c r="P175" s="238"/>
      <c r="Q175" s="252" t="e">
        <f>INDEX(E175:M175,MATCH($D$170,$E$171:$M$171,1))</f>
        <v>#REF!</v>
      </c>
      <c r="R175" s="252" t="e">
        <f>INDEX(E175:M175,MATCH($D$170,$E$171:$M$171,1)+1)</f>
        <v>#REF!</v>
      </c>
    </row>
    <row r="176" spans="1:18">
      <c r="A176" s="236"/>
      <c r="B176" s="224" t="e">
        <f>$B$9</f>
        <v>#REF!</v>
      </c>
      <c r="D176" s="242" t="e">
        <f>IF($D$170&lt;=$E$171,E176,ROUND(FORECAST($D$170,Q176:R176,$Q$171:$R$171),4))</f>
        <v>#REF!</v>
      </c>
      <c r="E176" s="243">
        <v>3.78E-2</v>
      </c>
      <c r="F176" s="243">
        <v>2.5499999999999998E-2</v>
      </c>
      <c r="G176" s="243">
        <v>1.95E-2</v>
      </c>
      <c r="H176" s="243">
        <v>1.4999999999999999E-2</v>
      </c>
      <c r="I176" s="243">
        <v>1.17E-2</v>
      </c>
      <c r="J176" s="243">
        <v>8.9999999999999993E-3</v>
      </c>
      <c r="K176" s="243">
        <v>7.7999999999999996E-3</v>
      </c>
      <c r="L176" s="243">
        <v>5.7000000000000002E-3</v>
      </c>
      <c r="M176" s="243">
        <v>5.1000000000000004E-3</v>
      </c>
      <c r="N176" s="238"/>
      <c r="O176" s="238"/>
      <c r="P176" s="238"/>
      <c r="Q176" s="252" t="e">
        <f>INDEX(E176:M176,MATCH($D$170,$E$171:$M$171,1))</f>
        <v>#REF!</v>
      </c>
      <c r="R176" s="252" t="e">
        <f>INDEX(E176:M176,MATCH($D$170,$E$171:$M$171,1)+1)</f>
        <v>#REF!</v>
      </c>
    </row>
    <row r="177" spans="1:18">
      <c r="A177" s="225" t="s">
        <v>164</v>
      </c>
      <c r="B177" s="226" t="s">
        <v>166</v>
      </c>
    </row>
    <row r="178" spans="1:18">
      <c r="B178" s="226"/>
      <c r="C178" s="726" t="s">
        <v>116</v>
      </c>
      <c r="D178" s="255" t="e">
        <f>D170</f>
        <v>#REF!</v>
      </c>
      <c r="E178" s="227" t="s">
        <v>138</v>
      </c>
      <c r="F178" s="226"/>
      <c r="G178" s="226"/>
      <c r="H178" s="226"/>
      <c r="I178" s="226"/>
      <c r="J178" s="226"/>
      <c r="K178" s="226"/>
      <c r="L178" s="226"/>
      <c r="M178" s="226"/>
      <c r="N178" s="226"/>
      <c r="O178" s="226"/>
      <c r="P178" s="226"/>
    </row>
    <row r="179" spans="1:18">
      <c r="B179" s="228"/>
      <c r="C179" s="726"/>
      <c r="D179" s="228"/>
      <c r="E179" s="229">
        <v>15</v>
      </c>
      <c r="F179" s="229">
        <v>50</v>
      </c>
      <c r="G179" s="229">
        <v>100</v>
      </c>
      <c r="H179" s="229">
        <v>200</v>
      </c>
      <c r="I179" s="229">
        <v>500</v>
      </c>
      <c r="J179" s="229">
        <v>1000</v>
      </c>
      <c r="K179" s="229">
        <v>2000</v>
      </c>
      <c r="L179" s="229">
        <v>5000</v>
      </c>
      <c r="M179" s="229">
        <v>8000</v>
      </c>
      <c r="N179" s="237"/>
      <c r="O179" s="237"/>
      <c r="P179" s="237"/>
      <c r="Q179" s="253" t="e">
        <f>INDEX(E179:M179,MATCH(D178,E179:M179,1))</f>
        <v>#REF!</v>
      </c>
      <c r="R179" s="254" t="e">
        <f>INDEX(E179:M179,MATCH(D178,E179:M179,1)+1)</f>
        <v>#REF!</v>
      </c>
    </row>
    <row r="180" spans="1:18">
      <c r="A180" s="230"/>
      <c r="B180" s="224" t="e">
        <f>$B$5</f>
        <v>#REF!</v>
      </c>
      <c r="D180" s="242" t="e">
        <f>IF($D$178&lt;=$E$179,E180,ROUND(FORECAST($D$178,Q180:R180,$Q$179:$R$179),4))</f>
        <v>#REF!</v>
      </c>
      <c r="E180" s="243">
        <v>4.8000000000000001E-2</v>
      </c>
      <c r="F180" s="243">
        <v>3.1800000000000002E-2</v>
      </c>
      <c r="G180" s="243">
        <v>2.4899999999999999E-2</v>
      </c>
      <c r="H180" s="243">
        <v>1.8599999999999998E-2</v>
      </c>
      <c r="I180" s="243">
        <v>1.38E-2</v>
      </c>
      <c r="J180" s="243">
        <v>1.14E-2</v>
      </c>
      <c r="K180" s="243">
        <v>8.3999999999999995E-3</v>
      </c>
      <c r="L180" s="243">
        <v>6.3E-3</v>
      </c>
      <c r="M180" s="243">
        <v>5.4000000000000003E-3</v>
      </c>
      <c r="N180" s="238"/>
      <c r="O180" s="238"/>
      <c r="P180" s="238"/>
      <c r="Q180" s="252" t="e">
        <f>INDEX(E180:M180,MATCH($D$178,$E$179:$M$179,1))</f>
        <v>#REF!</v>
      </c>
      <c r="R180" s="252" t="e">
        <f>INDEX(E180:M180,MATCH($D$178,$E$179:$M$179,1)+1)</f>
        <v>#REF!</v>
      </c>
    </row>
    <row r="181" spans="1:18">
      <c r="A181" s="234"/>
      <c r="B181" s="224" t="e">
        <f>$B$6</f>
        <v>#REF!</v>
      </c>
      <c r="D181" s="242" t="e">
        <f>IF($D$178&lt;=$E$179,E181,ROUND(FORECAST($D$178,Q181:R181,$Q$179:$R$179),4))</f>
        <v>#REF!</v>
      </c>
      <c r="E181" s="243">
        <v>5.5500000000000001E-2</v>
      </c>
      <c r="F181" s="243">
        <v>3.6299999999999999E-2</v>
      </c>
      <c r="G181" s="243">
        <v>2.8199999999999999E-2</v>
      </c>
      <c r="H181" s="243">
        <v>2.1600000000000001E-2</v>
      </c>
      <c r="I181" s="243">
        <v>1.6500000000000001E-2</v>
      </c>
      <c r="J181" s="243">
        <v>1.23E-2</v>
      </c>
      <c r="K181" s="243">
        <v>9.9000000000000008E-3</v>
      </c>
      <c r="L181" s="243">
        <v>6.8999999999999999E-3</v>
      </c>
      <c r="M181" s="243">
        <v>6.0000000000000001E-3</v>
      </c>
      <c r="N181" s="238"/>
      <c r="O181" s="238"/>
      <c r="P181" s="238"/>
      <c r="Q181" s="252" t="e">
        <f>INDEX(E181:M181,MATCH($D$178,$E$179:$M$179,1))</f>
        <v>#REF!</v>
      </c>
      <c r="R181" s="252" t="e">
        <f>INDEX(E181:M181,MATCH($D$178,$E$179:$M$179,1)+1)</f>
        <v>#REF!</v>
      </c>
    </row>
    <row r="182" spans="1:18">
      <c r="A182" s="235"/>
      <c r="B182" s="224" t="e">
        <f>$B$7</f>
        <v>#REF!</v>
      </c>
      <c r="D182" s="242" t="e">
        <f>IF($D$178&lt;=$E$179,E182,ROUND(FORECAST($D$178,Q182:R182,$Q$179:$R$179),4))</f>
        <v>#REF!</v>
      </c>
      <c r="E182" s="243">
        <v>3.1800000000000002E-2</v>
      </c>
      <c r="F182" s="243">
        <v>2.0400000000000001E-2</v>
      </c>
      <c r="G182" s="243">
        <v>1.6199999999999999E-2</v>
      </c>
      <c r="H182" s="243">
        <v>1.23E-2</v>
      </c>
      <c r="I182" s="243">
        <v>9.2999999999999992E-3</v>
      </c>
      <c r="J182" s="243">
        <v>7.1999999999999998E-3</v>
      </c>
      <c r="K182" s="243">
        <v>6.0000000000000001E-3</v>
      </c>
      <c r="L182" s="243">
        <v>4.1999999999999997E-3</v>
      </c>
      <c r="M182" s="243">
        <v>3.5999999999999999E-3</v>
      </c>
      <c r="N182" s="238"/>
      <c r="O182" s="238"/>
      <c r="P182" s="238"/>
      <c r="Q182" s="252" t="e">
        <f>INDEX(E182:M182,MATCH($D$178,$E$179:$M$179,1))</f>
        <v>#REF!</v>
      </c>
      <c r="R182" s="252" t="e">
        <f>INDEX(E182:M182,MATCH($D$178,$E$179:$M$179,1)+1)</f>
        <v>#REF!</v>
      </c>
    </row>
    <row r="183" spans="1:18">
      <c r="A183" s="234"/>
      <c r="B183" s="224" t="e">
        <f>$B$8</f>
        <v>#REF!</v>
      </c>
      <c r="D183" s="242" t="e">
        <f>IF($D$178&lt;=$E$179,E183,ROUND(FORECAST($D$178,Q183:R183,$Q$179:$R$179),4))</f>
        <v>#REF!</v>
      </c>
      <c r="E183" s="243">
        <v>3.5099999999999999E-2</v>
      </c>
      <c r="F183" s="243">
        <v>2.2800000000000001E-2</v>
      </c>
      <c r="G183" s="243">
        <v>1.7999999999999999E-2</v>
      </c>
      <c r="H183" s="243">
        <v>1.38E-2</v>
      </c>
      <c r="I183" s="243">
        <v>1.0500000000000001E-2</v>
      </c>
      <c r="J183" s="243">
        <v>7.7999999999999996E-3</v>
      </c>
      <c r="K183" s="243">
        <v>6.6E-3</v>
      </c>
      <c r="L183" s="243">
        <v>4.7999999999999996E-3</v>
      </c>
      <c r="M183" s="243">
        <v>4.1999999999999997E-3</v>
      </c>
      <c r="N183" s="238"/>
      <c r="O183" s="238"/>
      <c r="P183" s="238"/>
      <c r="Q183" s="252" t="e">
        <f>INDEX(E183:M183,MATCH($D$178,$E$179:$M$179,1))</f>
        <v>#REF!</v>
      </c>
      <c r="R183" s="252" t="e">
        <f>INDEX(E183:M183,MATCH($D$178,$E$179:$M$179,1)+1)</f>
        <v>#REF!</v>
      </c>
    </row>
    <row r="184" spans="1:18">
      <c r="A184" s="236"/>
      <c r="B184" s="224" t="e">
        <f>$B$9</f>
        <v>#REF!</v>
      </c>
      <c r="D184" s="242" t="e">
        <f>IF($D$178&lt;=$E$179,E184,ROUND(FORECAST($D$178,Q184:R184,$Q$179:$R$179),4))</f>
        <v>#REF!</v>
      </c>
      <c r="E184" s="243">
        <v>3.6600000000000001E-2</v>
      </c>
      <c r="F184" s="243">
        <v>2.46E-2</v>
      </c>
      <c r="G184" s="243">
        <v>1.8599999999999998E-2</v>
      </c>
      <c r="H184" s="243">
        <v>1.41E-2</v>
      </c>
      <c r="I184" s="243">
        <v>1.11E-2</v>
      </c>
      <c r="J184" s="243">
        <v>8.6999999999999994E-3</v>
      </c>
      <c r="K184" s="243">
        <v>7.1999999999999998E-3</v>
      </c>
      <c r="L184" s="243">
        <v>5.1000000000000004E-3</v>
      </c>
      <c r="M184" s="243">
        <v>4.1999999999999997E-3</v>
      </c>
      <c r="N184" s="238"/>
      <c r="O184" s="238"/>
      <c r="P184" s="238"/>
      <c r="Q184" s="252" t="e">
        <f>INDEX(E184:M184,MATCH($D$178,$E$179:$M$179,1))</f>
        <v>#REF!</v>
      </c>
      <c r="R184" s="252" t="e">
        <f>INDEX(E184:M184,MATCH($D$178,$E$179:$M$179,1)+1)</f>
        <v>#REF!</v>
      </c>
    </row>
    <row r="185" spans="1:18">
      <c r="A185" s="221" t="s">
        <v>167</v>
      </c>
      <c r="B185" s="222"/>
      <c r="C185" s="222"/>
      <c r="D185" s="223"/>
      <c r="E185" s="222"/>
      <c r="F185" s="222"/>
      <c r="G185" s="222"/>
    </row>
    <row r="186" spans="1:18">
      <c r="A186" s="225"/>
      <c r="B186" s="226" t="s">
        <v>168</v>
      </c>
    </row>
    <row r="187" spans="1:18">
      <c r="B187" s="226"/>
      <c r="C187" s="726"/>
      <c r="D187" s="255" t="e">
        <f>#REF!/10^9</f>
        <v>#REF!</v>
      </c>
      <c r="E187" s="227" t="s">
        <v>169</v>
      </c>
      <c r="F187" s="226"/>
      <c r="G187" s="226"/>
      <c r="H187" s="226"/>
      <c r="I187" s="226"/>
      <c r="J187" s="226"/>
      <c r="K187" s="226"/>
      <c r="L187" s="226"/>
      <c r="M187" s="226"/>
      <c r="N187" s="226"/>
      <c r="O187" s="226"/>
      <c r="P187" s="226"/>
    </row>
    <row r="188" spans="1:18">
      <c r="B188" s="228"/>
      <c r="C188" s="726"/>
      <c r="D188" s="228"/>
      <c r="E188" s="229">
        <v>15</v>
      </c>
      <c r="F188" s="229">
        <v>25</v>
      </c>
      <c r="G188" s="229">
        <v>50</v>
      </c>
      <c r="H188" s="229">
        <v>100</v>
      </c>
      <c r="I188" s="229">
        <v>200</v>
      </c>
      <c r="J188" s="229">
        <v>500</v>
      </c>
      <c r="K188" s="229">
        <v>1000</v>
      </c>
      <c r="L188" s="229">
        <v>2000</v>
      </c>
      <c r="M188" s="229">
        <v>5000</v>
      </c>
      <c r="N188" s="229">
        <v>10000</v>
      </c>
      <c r="O188" s="237"/>
      <c r="P188" s="237"/>
      <c r="Q188" s="253" t="e">
        <f>INDEX(E188:N188,MATCH(D187,E188:N188,1))</f>
        <v>#REF!</v>
      </c>
      <c r="R188" s="254" t="e">
        <f>INDEX(E188:N188,MATCH(D187,E188:N188,1)+1)</f>
        <v>#REF!</v>
      </c>
    </row>
    <row r="189" spans="1:18">
      <c r="A189" s="230"/>
      <c r="B189" s="231"/>
      <c r="D189" s="242" t="e">
        <f>IF($D$187&lt;=$E$188,E189,ROUND(FORECAST($D$187,Q189:R189,$Q$188:$R$188),4))</f>
        <v>#REF!</v>
      </c>
      <c r="E189" s="243">
        <v>1.9E-2</v>
      </c>
      <c r="F189" s="243">
        <v>1.7000000000000001E-2</v>
      </c>
      <c r="G189" s="243">
        <v>1.4999999999999999E-2</v>
      </c>
      <c r="H189" s="243">
        <v>1.2500000000000001E-2</v>
      </c>
      <c r="I189" s="243">
        <v>0.01</v>
      </c>
      <c r="J189" s="243">
        <v>7.4999999999999997E-3</v>
      </c>
      <c r="K189" s="243">
        <v>4.7000000000000002E-3</v>
      </c>
      <c r="L189" s="243">
        <v>2.5000000000000001E-3</v>
      </c>
      <c r="M189" s="243">
        <v>2E-3</v>
      </c>
      <c r="N189" s="243">
        <v>1E-3</v>
      </c>
      <c r="O189" s="238"/>
      <c r="P189" s="238"/>
      <c r="Q189" s="252" t="e">
        <f>INDEX(E189:N189,MATCH($D$187,$E$188:$N$188,1))</f>
        <v>#REF!</v>
      </c>
      <c r="R189" s="252" t="e">
        <f>INDEX(E189:N189,MATCH($D$187,$E$188:$N$188,1)+1)</f>
        <v>#REF!</v>
      </c>
    </row>
    <row r="190" spans="1:18">
      <c r="A190" s="221" t="s">
        <v>170</v>
      </c>
      <c r="B190" s="222"/>
      <c r="C190" s="222"/>
      <c r="D190" s="223"/>
      <c r="E190" s="222"/>
      <c r="F190" s="222"/>
      <c r="G190" s="222"/>
    </row>
    <row r="191" spans="1:18">
      <c r="A191" s="225"/>
      <c r="B191" s="226" t="s">
        <v>171</v>
      </c>
    </row>
    <row r="192" spans="1:18">
      <c r="B192" s="226"/>
      <c r="C192" s="726"/>
      <c r="D192" s="255" t="e">
        <f>D187</f>
        <v>#REF!</v>
      </c>
      <c r="E192" s="227" t="s">
        <v>169</v>
      </c>
      <c r="F192" s="226"/>
      <c r="G192" s="226"/>
      <c r="H192" s="226"/>
      <c r="I192" s="226"/>
      <c r="J192" s="226"/>
      <c r="K192" s="226"/>
      <c r="L192" s="226"/>
      <c r="M192" s="226"/>
      <c r="N192" s="226"/>
      <c r="O192" s="226"/>
      <c r="P192" s="226"/>
    </row>
    <row r="193" spans="1:18">
      <c r="B193" s="228"/>
      <c r="C193" s="726"/>
      <c r="D193" s="228"/>
      <c r="E193" s="229">
        <v>5</v>
      </c>
      <c r="F193" s="229">
        <v>10</v>
      </c>
      <c r="G193" s="229">
        <v>50</v>
      </c>
      <c r="H193" s="229">
        <v>100</v>
      </c>
      <c r="I193" s="229">
        <v>500</v>
      </c>
      <c r="J193" s="229">
        <v>1000</v>
      </c>
      <c r="K193" s="229">
        <v>10000</v>
      </c>
      <c r="L193" s="237"/>
      <c r="M193" s="237"/>
      <c r="N193" s="237"/>
      <c r="O193" s="237"/>
      <c r="P193" s="237"/>
      <c r="Q193" s="253" t="e">
        <f>INDEX(E193:K193,MATCH(D192,E193:K193,1))</f>
        <v>#REF!</v>
      </c>
      <c r="R193" s="254" t="e">
        <f>INDEX(E193:K193,MATCH(D192,E193:K193,1)+1)</f>
        <v>#REF!</v>
      </c>
    </row>
    <row r="194" spans="1:18">
      <c r="A194" s="230"/>
      <c r="B194" s="231"/>
      <c r="D194" s="232" t="e">
        <f>IF($D$192&lt;=$E$193,E194,ROUND(FORECAST($D$192,Q194:R194,$Q$193:$R$193),3))</f>
        <v>#REF!</v>
      </c>
      <c r="E194" s="233">
        <v>0.95</v>
      </c>
      <c r="F194" s="233">
        <v>0.65</v>
      </c>
      <c r="G194" s="233">
        <v>0.47499999999999998</v>
      </c>
      <c r="H194" s="233">
        <v>0.375</v>
      </c>
      <c r="I194" s="233">
        <v>0.22500000000000001</v>
      </c>
      <c r="J194" s="233">
        <v>0.15</v>
      </c>
      <c r="K194" s="233">
        <v>0.08</v>
      </c>
      <c r="L194" s="244"/>
      <c r="M194" s="244"/>
      <c r="N194" s="244"/>
      <c r="O194" s="238"/>
      <c r="P194" s="238"/>
      <c r="Q194" s="252" t="e">
        <f>INDEX(E194:K194,MATCH($D$192,$E$193:$K$193,1))</f>
        <v>#REF!</v>
      </c>
      <c r="R194" s="252" t="e">
        <f>INDEX(E194:K194,MATCH($D$192,$E$193:$K$193,1)+1)</f>
        <v>#REF!</v>
      </c>
    </row>
    <row r="195" spans="1:18">
      <c r="A195" s="225"/>
      <c r="B195" s="226" t="s">
        <v>172</v>
      </c>
    </row>
    <row r="196" spans="1:18">
      <c r="B196" s="226"/>
      <c r="C196" s="726"/>
      <c r="D196" s="255" t="e">
        <f>D187</f>
        <v>#REF!</v>
      </c>
      <c r="E196" s="227" t="s">
        <v>169</v>
      </c>
      <c r="F196" s="226"/>
      <c r="G196" s="226"/>
      <c r="H196" s="226"/>
      <c r="I196" s="226"/>
      <c r="J196" s="226"/>
      <c r="K196" s="226"/>
      <c r="L196" s="226"/>
      <c r="M196" s="226"/>
      <c r="N196" s="226"/>
      <c r="O196" s="226"/>
      <c r="P196" s="226"/>
    </row>
    <row r="197" spans="1:18">
      <c r="B197" s="228"/>
      <c r="C197" s="726"/>
      <c r="D197" s="228"/>
      <c r="E197" s="229">
        <v>5</v>
      </c>
      <c r="F197" s="229">
        <v>10</v>
      </c>
      <c r="G197" s="229">
        <v>50</v>
      </c>
      <c r="H197" s="229">
        <v>100</v>
      </c>
      <c r="I197" s="229">
        <v>500</v>
      </c>
      <c r="J197" s="229">
        <v>1000</v>
      </c>
      <c r="K197" s="229">
        <v>10000</v>
      </c>
      <c r="L197" s="237"/>
      <c r="M197" s="237"/>
      <c r="N197" s="237"/>
      <c r="O197" s="237"/>
      <c r="P197" s="237"/>
      <c r="Q197" s="253" t="e">
        <f>INDEX(E197:K197,MATCH(D196,E197:K197,1))</f>
        <v>#REF!</v>
      </c>
      <c r="R197" s="254" t="e">
        <f>INDEX(E197:K197,MATCH(D196,E197:K197,1)+1)</f>
        <v>#REF!</v>
      </c>
    </row>
    <row r="198" spans="1:18">
      <c r="A198" s="230"/>
      <c r="B198" s="231"/>
      <c r="D198" s="232" t="e">
        <f>IF($D$196&lt;=$E$197,E198,ROUND(FORECAST($D$196,Q198:R198,$Q$197:$R$197),3))</f>
        <v>#REF!</v>
      </c>
      <c r="E198" s="233">
        <v>1.6</v>
      </c>
      <c r="F198" s="233">
        <v>1.075</v>
      </c>
      <c r="G198" s="233">
        <v>0.75</v>
      </c>
      <c r="H198" s="233">
        <v>0.57499999999999996</v>
      </c>
      <c r="I198" s="233">
        <v>0.32500000000000001</v>
      </c>
      <c r="J198" s="233">
        <v>0.215</v>
      </c>
      <c r="K198" s="233">
        <v>0.115</v>
      </c>
      <c r="L198" s="244"/>
      <c r="M198" s="244"/>
      <c r="N198" s="244"/>
      <c r="O198" s="238"/>
      <c r="P198" s="238"/>
      <c r="Q198" s="252" t="e">
        <f>INDEX(E198:K198,MATCH($D$196,$E$197:$K$197,1))</f>
        <v>#REF!</v>
      </c>
      <c r="R198" s="252" t="e">
        <f>INDEX(E198:K198,MATCH($D$196,$E$197:$K$197,1)+1)</f>
        <v>#REF!</v>
      </c>
    </row>
    <row r="199" spans="1:18" s="236" customFormat="1">
      <c r="B199" s="245"/>
      <c r="D199" s="246"/>
      <c r="E199" s="238"/>
      <c r="F199" s="238"/>
      <c r="G199" s="238"/>
      <c r="H199" s="238"/>
      <c r="I199" s="238"/>
      <c r="J199" s="238"/>
      <c r="K199" s="238"/>
      <c r="L199" s="238"/>
      <c r="M199" s="238"/>
      <c r="N199" s="238"/>
      <c r="O199" s="238"/>
      <c r="P199" s="238"/>
    </row>
    <row r="200" spans="1:18" s="236" customFormat="1">
      <c r="B200" s="245"/>
      <c r="D200" s="246"/>
      <c r="E200" s="238"/>
      <c r="F200" s="238"/>
      <c r="G200" s="238"/>
      <c r="H200" s="238"/>
      <c r="I200" s="238"/>
      <c r="J200" s="238"/>
      <c r="K200" s="238"/>
      <c r="L200" s="238"/>
      <c r="M200" s="238"/>
      <c r="N200" s="238"/>
      <c r="O200" s="238"/>
      <c r="P200" s="238"/>
    </row>
    <row r="201" spans="1:18" s="236" customFormat="1">
      <c r="B201" s="245"/>
      <c r="D201" s="246"/>
      <c r="E201" s="238"/>
      <c r="F201" s="238"/>
      <c r="G201" s="238"/>
      <c r="H201" s="238"/>
      <c r="I201" s="238"/>
      <c r="J201" s="238"/>
      <c r="K201" s="238"/>
      <c r="L201" s="238"/>
      <c r="M201" s="238"/>
      <c r="N201" s="238"/>
      <c r="O201" s="238"/>
      <c r="P201" s="238"/>
    </row>
    <row r="202" spans="1:18" s="236" customFormat="1">
      <c r="B202" s="245"/>
      <c r="D202" s="246"/>
      <c r="E202" s="238"/>
      <c r="F202" s="238"/>
      <c r="G202" s="238"/>
      <c r="H202" s="238"/>
      <c r="I202" s="238"/>
      <c r="J202" s="238"/>
      <c r="K202" s="238"/>
      <c r="L202" s="238"/>
      <c r="M202" s="238"/>
      <c r="N202" s="238"/>
      <c r="O202" s="238"/>
      <c r="P202" s="238"/>
    </row>
    <row r="203" spans="1:18" s="236" customFormat="1">
      <c r="B203" s="245"/>
      <c r="D203" s="246"/>
      <c r="E203" s="238"/>
      <c r="F203" s="238"/>
      <c r="G203" s="238"/>
      <c r="H203" s="238"/>
      <c r="I203" s="238"/>
      <c r="J203" s="238"/>
      <c r="K203" s="238"/>
      <c r="L203" s="238"/>
      <c r="M203" s="238"/>
      <c r="N203" s="238"/>
      <c r="O203" s="238"/>
      <c r="P203" s="238"/>
    </row>
    <row r="204" spans="1:18">
      <c r="E204" s="247"/>
    </row>
    <row r="205" spans="1:18">
      <c r="E205" s="248"/>
    </row>
  </sheetData>
  <mergeCells count="24">
    <mergeCell ref="C187:C188"/>
    <mergeCell ref="C192:C193"/>
    <mergeCell ref="C196:C197"/>
    <mergeCell ref="C154:C155"/>
    <mergeCell ref="C51:C52"/>
    <mergeCell ref="C59:C60"/>
    <mergeCell ref="C67:C68"/>
    <mergeCell ref="C75:C76"/>
    <mergeCell ref="C83:C84"/>
    <mergeCell ref="C91:C92"/>
    <mergeCell ref="C99:C100"/>
    <mergeCell ref="C114:C115"/>
    <mergeCell ref="C122:C123"/>
    <mergeCell ref="C130:C131"/>
    <mergeCell ref="C138:C139"/>
    <mergeCell ref="C162:C163"/>
    <mergeCell ref="C170:C171"/>
    <mergeCell ref="C178:C179"/>
    <mergeCell ref="C43:C44"/>
    <mergeCell ref="C3:C4"/>
    <mergeCell ref="C11:C12"/>
    <mergeCell ref="C19:C20"/>
    <mergeCell ref="C27:C28"/>
    <mergeCell ref="C35:C36"/>
  </mergeCells>
  <printOptions gridLinesSet="0"/>
  <pageMargins left="0.75" right="0.75" top="1" bottom="1" header="0.5" footer="0.5"/>
  <pageSetup paperSize="9" orientation="portrait" r:id="rId1"/>
  <headerFooter alignWithMargins="0">
    <oddHeader>&amp;A</oddHeader>
    <oddFooter>Page &amp;P</oddFooter>
  </headerFooter>
</worksheet>
</file>

<file path=xl/worksheets/sheet6.xml><?xml version="1.0" encoding="utf-8"?>
<worksheet xmlns="http://schemas.openxmlformats.org/spreadsheetml/2006/main" xmlns:r="http://schemas.openxmlformats.org/officeDocument/2006/relationships">
  <sheetPr>
    <tabColor theme="5"/>
  </sheetPr>
  <dimension ref="A1:M1249"/>
  <sheetViews>
    <sheetView topLeftCell="A6" zoomScale="85" zoomScaleNormal="85" workbookViewId="0">
      <pane ySplit="1905" topLeftCell="A1201" activePane="bottomLeft"/>
      <selection activeCell="I1211" sqref="I1211"/>
      <selection pane="bottomLeft" activeCell="J1205" sqref="J1205"/>
    </sheetView>
  </sheetViews>
  <sheetFormatPr defaultRowHeight="18.75"/>
  <cols>
    <col min="1" max="1" width="8.28515625" style="323" customWidth="1"/>
    <col min="2" max="2" width="49.140625" style="322" customWidth="1"/>
    <col min="3" max="3" width="9.42578125" style="322" bestFit="1" customWidth="1"/>
    <col min="4" max="4" width="13.28515625" style="322" bestFit="1" customWidth="1"/>
    <col min="5" max="5" width="14.7109375" style="322" customWidth="1"/>
    <col min="6" max="6" width="14.85546875" style="322" bestFit="1" customWidth="1"/>
    <col min="7" max="7" width="16" style="322" bestFit="1" customWidth="1"/>
    <col min="8" max="8" width="21" style="322" bestFit="1" customWidth="1"/>
    <col min="9" max="9" width="25.28515625" style="322" customWidth="1"/>
    <col min="10" max="10" width="24" style="322" bestFit="1" customWidth="1"/>
    <col min="11" max="12" width="21.85546875" style="322" bestFit="1" customWidth="1"/>
    <col min="13" max="13" width="18.28515625" style="322" bestFit="1" customWidth="1"/>
    <col min="14" max="16384" width="9.140625" style="322"/>
  </cols>
  <sheetData>
    <row r="1" spans="1:10" ht="35.25" customHeight="1">
      <c r="A1" s="727" t="s">
        <v>737</v>
      </c>
      <c r="B1" s="727"/>
      <c r="C1" s="727"/>
      <c r="D1" s="727"/>
      <c r="E1" s="727"/>
      <c r="F1" s="727"/>
      <c r="G1" s="727"/>
      <c r="H1" s="727"/>
      <c r="I1" s="727"/>
      <c r="J1" s="727"/>
    </row>
    <row r="2" spans="1:10" ht="21.75" customHeight="1">
      <c r="A2" s="728" t="s">
        <v>736</v>
      </c>
      <c r="B2" s="728"/>
      <c r="C2" s="728"/>
      <c r="D2" s="728"/>
      <c r="E2" s="728"/>
      <c r="F2" s="728"/>
      <c r="G2" s="728"/>
      <c r="H2" s="728"/>
      <c r="I2" s="728"/>
      <c r="J2" s="728"/>
    </row>
    <row r="3" spans="1:10" ht="21.75" customHeight="1">
      <c r="A3" s="728" t="s">
        <v>735</v>
      </c>
      <c r="B3" s="728"/>
      <c r="C3" s="728"/>
      <c r="D3" s="728"/>
      <c r="E3" s="728"/>
      <c r="F3" s="728"/>
      <c r="G3" s="728"/>
      <c r="H3" s="728"/>
      <c r="I3" s="728"/>
      <c r="J3" s="728"/>
    </row>
    <row r="4" spans="1:10" ht="21.75" customHeight="1">
      <c r="A4" s="391"/>
      <c r="B4" s="390"/>
      <c r="C4" s="390"/>
      <c r="D4" s="390"/>
      <c r="E4" s="390"/>
      <c r="F4" s="390"/>
      <c r="G4" s="390"/>
      <c r="H4" s="390"/>
      <c r="I4" s="390"/>
      <c r="J4" s="390"/>
    </row>
    <row r="5" spans="1:10" ht="34.5" customHeight="1">
      <c r="A5" s="729" t="s">
        <v>25</v>
      </c>
      <c r="B5" s="730" t="s">
        <v>455</v>
      </c>
      <c r="C5" s="730" t="s">
        <v>29</v>
      </c>
      <c r="D5" s="730" t="s">
        <v>734</v>
      </c>
      <c r="E5" s="730"/>
      <c r="F5" s="730"/>
      <c r="G5" s="731" t="s">
        <v>733</v>
      </c>
      <c r="H5" s="730" t="s">
        <v>314</v>
      </c>
      <c r="I5" s="730"/>
      <c r="J5" s="730"/>
    </row>
    <row r="6" spans="1:10" ht="98.25" customHeight="1">
      <c r="A6" s="729"/>
      <c r="B6" s="730"/>
      <c r="C6" s="730"/>
      <c r="D6" s="389" t="s">
        <v>316</v>
      </c>
      <c r="E6" s="389" t="s">
        <v>732</v>
      </c>
      <c r="F6" s="389" t="s">
        <v>731</v>
      </c>
      <c r="G6" s="732"/>
      <c r="H6" s="389" t="s">
        <v>316</v>
      </c>
      <c r="I6" s="389" t="s">
        <v>732</v>
      </c>
      <c r="J6" s="389" t="s">
        <v>731</v>
      </c>
    </row>
    <row r="7" spans="1:10" hidden="1">
      <c r="A7" s="388"/>
      <c r="B7" s="387"/>
      <c r="C7" s="387"/>
      <c r="D7" s="385"/>
      <c r="E7" s="386">
        <f>50.61/100</f>
        <v>0.50609999999999999</v>
      </c>
      <c r="F7" s="386">
        <f>1-E7</f>
        <v>0.49390000000000001</v>
      </c>
      <c r="G7" s="385"/>
      <c r="H7" s="385"/>
      <c r="I7" s="385"/>
      <c r="J7" s="385"/>
    </row>
    <row r="8" spans="1:10" ht="37.5" customHeight="1">
      <c r="A8" s="379" t="s">
        <v>8</v>
      </c>
      <c r="B8" s="378" t="s">
        <v>478</v>
      </c>
      <c r="C8" s="341"/>
      <c r="D8" s="341"/>
      <c r="E8" s="341"/>
      <c r="F8" s="341"/>
      <c r="G8" s="341"/>
      <c r="H8" s="341"/>
      <c r="I8" s="341"/>
      <c r="J8" s="341"/>
    </row>
    <row r="9" spans="1:10">
      <c r="A9" s="352">
        <v>1</v>
      </c>
      <c r="B9" s="354" t="s">
        <v>479</v>
      </c>
      <c r="C9" s="352" t="s">
        <v>480</v>
      </c>
      <c r="D9" s="352">
        <v>1</v>
      </c>
      <c r="E9" s="384">
        <f t="shared" ref="E9:E17" si="0">D9*$E$7</f>
        <v>0.50609999999999999</v>
      </c>
      <c r="F9" s="384">
        <f t="shared" ref="F9:F17" si="1">D9*$F$7</f>
        <v>0.49390000000000001</v>
      </c>
      <c r="G9" s="383">
        <v>20000000</v>
      </c>
      <c r="H9" s="336">
        <f>D9*G9</f>
        <v>20000000</v>
      </c>
      <c r="I9" s="336">
        <f>E9*G9</f>
        <v>10122000</v>
      </c>
      <c r="J9" s="336">
        <f>F9*G9</f>
        <v>9878000</v>
      </c>
    </row>
    <row r="10" spans="1:10" ht="33">
      <c r="A10" s="352">
        <v>2</v>
      </c>
      <c r="B10" s="354" t="s">
        <v>481</v>
      </c>
      <c r="C10" s="352" t="s">
        <v>480</v>
      </c>
      <c r="D10" s="352">
        <v>1</v>
      </c>
      <c r="E10" s="384">
        <f t="shared" si="0"/>
        <v>0.50609999999999999</v>
      </c>
      <c r="F10" s="384">
        <f t="shared" si="1"/>
        <v>0.49390000000000001</v>
      </c>
      <c r="G10" s="383"/>
      <c r="H10" s="336"/>
      <c r="I10" s="336"/>
      <c r="J10" s="336"/>
    </row>
    <row r="11" spans="1:10">
      <c r="A11" s="352">
        <v>3</v>
      </c>
      <c r="B11" s="354" t="s">
        <v>482</v>
      </c>
      <c r="C11" s="352" t="s">
        <v>480</v>
      </c>
      <c r="D11" s="352">
        <v>1</v>
      </c>
      <c r="E11" s="384">
        <f t="shared" si="0"/>
        <v>0.50609999999999999</v>
      </c>
      <c r="F11" s="384">
        <f t="shared" si="1"/>
        <v>0.49390000000000001</v>
      </c>
      <c r="G11" s="383"/>
      <c r="H11" s="336"/>
      <c r="I11" s="336"/>
      <c r="J11" s="336"/>
    </row>
    <row r="12" spans="1:10">
      <c r="A12" s="352">
        <v>4</v>
      </c>
      <c r="B12" s="354" t="s">
        <v>483</v>
      </c>
      <c r="C12" s="352" t="s">
        <v>480</v>
      </c>
      <c r="D12" s="352">
        <v>1</v>
      </c>
      <c r="E12" s="384">
        <f t="shared" si="0"/>
        <v>0.50609999999999999</v>
      </c>
      <c r="F12" s="384">
        <f t="shared" si="1"/>
        <v>0.49390000000000001</v>
      </c>
      <c r="G12" s="383"/>
      <c r="H12" s="336"/>
      <c r="I12" s="336"/>
      <c r="J12" s="336"/>
    </row>
    <row r="13" spans="1:10">
      <c r="A13" s="352">
        <v>5</v>
      </c>
      <c r="B13" s="354" t="s">
        <v>484</v>
      </c>
      <c r="C13" s="352" t="s">
        <v>485</v>
      </c>
      <c r="D13" s="352">
        <v>12</v>
      </c>
      <c r="E13" s="384">
        <f t="shared" si="0"/>
        <v>6.0731999999999999</v>
      </c>
      <c r="F13" s="384">
        <f t="shared" si="1"/>
        <v>5.9268000000000001</v>
      </c>
      <c r="G13" s="383">
        <v>5000000</v>
      </c>
      <c r="H13" s="336">
        <f>D13*G13</f>
        <v>60000000</v>
      </c>
      <c r="I13" s="336">
        <f>E13*G13</f>
        <v>30366000</v>
      </c>
      <c r="J13" s="336">
        <f>F13*G13</f>
        <v>29634000</v>
      </c>
    </row>
    <row r="14" spans="1:10" ht="33">
      <c r="A14" s="352">
        <v>6</v>
      </c>
      <c r="B14" s="354" t="s">
        <v>486</v>
      </c>
      <c r="C14" s="352" t="s">
        <v>480</v>
      </c>
      <c r="D14" s="352">
        <v>1</v>
      </c>
      <c r="E14" s="384">
        <f t="shared" si="0"/>
        <v>0.50609999999999999</v>
      </c>
      <c r="F14" s="384">
        <f t="shared" si="1"/>
        <v>0.49390000000000001</v>
      </c>
      <c r="G14" s="383">
        <v>200000000</v>
      </c>
      <c r="H14" s="336">
        <f>D14*G14</f>
        <v>200000000</v>
      </c>
      <c r="I14" s="336">
        <f>E14*G14</f>
        <v>101220000</v>
      </c>
      <c r="J14" s="336">
        <f>F14*G14</f>
        <v>98780000</v>
      </c>
    </row>
    <row r="15" spans="1:10" ht="33">
      <c r="A15" s="352">
        <v>7</v>
      </c>
      <c r="B15" s="354" t="s">
        <v>487</v>
      </c>
      <c r="C15" s="352" t="s">
        <v>480</v>
      </c>
      <c r="D15" s="352">
        <v>1</v>
      </c>
      <c r="E15" s="384">
        <f t="shared" si="0"/>
        <v>0.50609999999999999</v>
      </c>
      <c r="F15" s="384">
        <f t="shared" si="1"/>
        <v>0.49390000000000001</v>
      </c>
      <c r="G15" s="383">
        <v>50000000</v>
      </c>
      <c r="H15" s="336">
        <f>D15*G15</f>
        <v>50000000</v>
      </c>
      <c r="I15" s="336">
        <f>E15*G15</f>
        <v>25305000</v>
      </c>
      <c r="J15" s="336">
        <f>F15*G15</f>
        <v>24695000</v>
      </c>
    </row>
    <row r="16" spans="1:10" ht="33">
      <c r="A16" s="352">
        <v>8</v>
      </c>
      <c r="B16" s="354" t="s">
        <v>488</v>
      </c>
      <c r="C16" s="352" t="s">
        <v>485</v>
      </c>
      <c r="D16" s="352">
        <v>24</v>
      </c>
      <c r="E16" s="384">
        <f t="shared" si="0"/>
        <v>12.1464</v>
      </c>
      <c r="F16" s="384">
        <f t="shared" si="1"/>
        <v>11.8536</v>
      </c>
      <c r="G16" s="383">
        <v>5000000</v>
      </c>
      <c r="H16" s="336">
        <f>D16*G16</f>
        <v>120000000</v>
      </c>
      <c r="I16" s="336">
        <f>E16*G16</f>
        <v>60732000</v>
      </c>
      <c r="J16" s="336">
        <f>F16*G16</f>
        <v>59268000</v>
      </c>
    </row>
    <row r="17" spans="1:10">
      <c r="A17" s="352">
        <v>9</v>
      </c>
      <c r="B17" s="354" t="s">
        <v>489</v>
      </c>
      <c r="C17" s="352" t="s">
        <v>480</v>
      </c>
      <c r="D17" s="352">
        <v>1</v>
      </c>
      <c r="E17" s="384">
        <f t="shared" si="0"/>
        <v>0.50609999999999999</v>
      </c>
      <c r="F17" s="384">
        <f t="shared" si="1"/>
        <v>0.49390000000000001</v>
      </c>
      <c r="G17" s="383">
        <v>50000000</v>
      </c>
      <c r="H17" s="336">
        <f>D17*G17</f>
        <v>50000000</v>
      </c>
      <c r="I17" s="336">
        <f>E17*G17</f>
        <v>25305000</v>
      </c>
      <c r="J17" s="336">
        <f>F17*G17</f>
        <v>24695000</v>
      </c>
    </row>
    <row r="18" spans="1:10" ht="25.5" customHeight="1">
      <c r="A18" s="341"/>
      <c r="B18" s="382" t="s">
        <v>490</v>
      </c>
      <c r="C18" s="381"/>
      <c r="D18" s="381"/>
      <c r="E18" s="381"/>
      <c r="F18" s="381"/>
      <c r="G18" s="380"/>
      <c r="H18" s="338">
        <f>SUM(H9:H17)</f>
        <v>500000000</v>
      </c>
      <c r="I18" s="338">
        <f>SUM(I9:I17)</f>
        <v>253050000</v>
      </c>
      <c r="J18" s="338">
        <f>SUM(J9:J17)</f>
        <v>246950000</v>
      </c>
    </row>
    <row r="19" spans="1:10" ht="25.5" customHeight="1">
      <c r="A19" s="340"/>
      <c r="B19" s="382" t="s">
        <v>491</v>
      </c>
      <c r="C19" s="381"/>
      <c r="D19" s="381"/>
      <c r="E19" s="381"/>
      <c r="F19" s="381"/>
      <c r="G19" s="380"/>
      <c r="H19" s="338">
        <f>H18*0.6</f>
        <v>300000000</v>
      </c>
      <c r="I19" s="338">
        <f>I18*0.6</f>
        <v>151830000</v>
      </c>
      <c r="J19" s="338">
        <f>J18*0.6</f>
        <v>148170000</v>
      </c>
    </row>
    <row r="20" spans="1:10" ht="25.5" customHeight="1">
      <c r="A20" s="340"/>
      <c r="B20" s="382" t="s">
        <v>492</v>
      </c>
      <c r="C20" s="381"/>
      <c r="D20" s="381"/>
      <c r="E20" s="381"/>
      <c r="F20" s="381"/>
      <c r="G20" s="380"/>
      <c r="H20" s="338">
        <f>H18-H19</f>
        <v>200000000</v>
      </c>
      <c r="I20" s="338">
        <f>I18-I19</f>
        <v>101220000</v>
      </c>
      <c r="J20" s="338">
        <f>J18-J19</f>
        <v>98780000</v>
      </c>
    </row>
    <row r="21" spans="1:10" ht="46.5" customHeight="1">
      <c r="A21" s="379" t="s">
        <v>313</v>
      </c>
      <c r="B21" s="378" t="s">
        <v>493</v>
      </c>
      <c r="C21" s="341"/>
      <c r="D21" s="341"/>
      <c r="E21" s="341"/>
      <c r="F21" s="341"/>
      <c r="G21" s="341"/>
      <c r="H21" s="341"/>
      <c r="I21" s="341"/>
      <c r="J21" s="341"/>
    </row>
    <row r="22" spans="1:10">
      <c r="A22" s="303"/>
      <c r="B22" s="304" t="s">
        <v>494</v>
      </c>
      <c r="C22" s="341"/>
      <c r="D22" s="341"/>
      <c r="E22" s="341"/>
      <c r="F22" s="341"/>
      <c r="G22" s="336"/>
      <c r="H22" s="377">
        <f>SUM(H25:H269)</f>
        <v>4816110648.7755842</v>
      </c>
      <c r="I22" s="341"/>
      <c r="J22" s="377">
        <f>SUM(J25:J269)</f>
        <v>4816110648.7755842</v>
      </c>
    </row>
    <row r="23" spans="1:10">
      <c r="A23" s="303"/>
      <c r="B23" s="304" t="s">
        <v>495</v>
      </c>
      <c r="C23" s="341"/>
      <c r="D23" s="341"/>
      <c r="E23" s="341"/>
      <c r="F23" s="341"/>
      <c r="G23" s="336"/>
      <c r="H23" s="341"/>
      <c r="I23" s="341"/>
      <c r="J23" s="341"/>
    </row>
    <row r="24" spans="1:10">
      <c r="A24" s="305"/>
      <c r="B24" s="306" t="s">
        <v>496</v>
      </c>
      <c r="C24" s="341"/>
      <c r="D24" s="341"/>
      <c r="E24" s="341"/>
      <c r="F24" s="341"/>
      <c r="G24" s="336"/>
      <c r="H24" s="341"/>
      <c r="I24" s="341"/>
      <c r="J24" s="341"/>
    </row>
    <row r="25" spans="1:10">
      <c r="A25" s="305">
        <v>1</v>
      </c>
      <c r="B25" s="307" t="s">
        <v>497</v>
      </c>
      <c r="C25" s="352" t="s">
        <v>319</v>
      </c>
      <c r="D25" s="355">
        <v>13.66</v>
      </c>
      <c r="E25" s="342"/>
      <c r="F25" s="342">
        <f t="shared" ref="F25:F88" si="2">D25</f>
        <v>13.66</v>
      </c>
      <c r="G25" s="336">
        <v>209980.13194288901</v>
      </c>
      <c r="H25" s="336">
        <f t="shared" ref="H25:H88" si="3">D25*G25</f>
        <v>2868328.6023398638</v>
      </c>
      <c r="I25" s="336"/>
      <c r="J25" s="336">
        <f t="shared" ref="J25:J88" si="4">F25*G25</f>
        <v>2868328.6023398638</v>
      </c>
    </row>
    <row r="26" spans="1:10">
      <c r="A26" s="305">
        <v>2</v>
      </c>
      <c r="B26" s="307" t="s">
        <v>343</v>
      </c>
      <c r="C26" s="352" t="s">
        <v>498</v>
      </c>
      <c r="D26" s="355">
        <v>55</v>
      </c>
      <c r="E26" s="342"/>
      <c r="F26" s="342">
        <f t="shared" si="2"/>
        <v>55</v>
      </c>
      <c r="G26" s="336">
        <v>50385.868009201993</v>
      </c>
      <c r="H26" s="336">
        <f t="shared" si="3"/>
        <v>2771222.7405061098</v>
      </c>
      <c r="I26" s="336"/>
      <c r="J26" s="336">
        <f t="shared" si="4"/>
        <v>2771222.7405061098</v>
      </c>
    </row>
    <row r="27" spans="1:10">
      <c r="A27" s="305">
        <v>3</v>
      </c>
      <c r="B27" s="307" t="s">
        <v>344</v>
      </c>
      <c r="C27" s="352" t="s">
        <v>498</v>
      </c>
      <c r="D27" s="355">
        <v>35</v>
      </c>
      <c r="E27" s="342"/>
      <c r="F27" s="342">
        <f t="shared" si="2"/>
        <v>35</v>
      </c>
      <c r="G27" s="336">
        <v>77678.324710899004</v>
      </c>
      <c r="H27" s="336">
        <f t="shared" si="3"/>
        <v>2718741.3648814652</v>
      </c>
      <c r="I27" s="336"/>
      <c r="J27" s="336">
        <f t="shared" si="4"/>
        <v>2718741.3648814652</v>
      </c>
    </row>
    <row r="28" spans="1:10">
      <c r="A28" s="305">
        <v>4</v>
      </c>
      <c r="B28" s="307" t="s">
        <v>345</v>
      </c>
      <c r="C28" s="352" t="s">
        <v>70</v>
      </c>
      <c r="D28" s="355">
        <v>0.75</v>
      </c>
      <c r="E28" s="342"/>
      <c r="F28" s="342">
        <f t="shared" si="2"/>
        <v>0.75</v>
      </c>
      <c r="G28" s="336">
        <v>216467.65221015</v>
      </c>
      <c r="H28" s="336">
        <f t="shared" si="3"/>
        <v>162350.73915761249</v>
      </c>
      <c r="I28" s="336"/>
      <c r="J28" s="336">
        <f t="shared" si="4"/>
        <v>162350.73915761249</v>
      </c>
    </row>
    <row r="29" spans="1:10">
      <c r="A29" s="305">
        <v>5</v>
      </c>
      <c r="B29" s="307" t="s">
        <v>346</v>
      </c>
      <c r="C29" s="352" t="s">
        <v>321</v>
      </c>
      <c r="D29" s="355">
        <v>0.73699999999999999</v>
      </c>
      <c r="E29" s="342"/>
      <c r="F29" s="342">
        <f t="shared" si="2"/>
        <v>0.73699999999999999</v>
      </c>
      <c r="G29" s="336">
        <v>731754.59304715903</v>
      </c>
      <c r="H29" s="336">
        <f t="shared" si="3"/>
        <v>539303.13507575623</v>
      </c>
      <c r="I29" s="336"/>
      <c r="J29" s="336">
        <f t="shared" si="4"/>
        <v>539303.13507575623</v>
      </c>
    </row>
    <row r="30" spans="1:10" ht="33">
      <c r="A30" s="305">
        <v>6</v>
      </c>
      <c r="B30" s="307" t="s">
        <v>347</v>
      </c>
      <c r="C30" s="352" t="s">
        <v>321</v>
      </c>
      <c r="D30" s="355">
        <v>1.474</v>
      </c>
      <c r="E30" s="342"/>
      <c r="F30" s="342">
        <f t="shared" si="2"/>
        <v>1.474</v>
      </c>
      <c r="G30" s="336">
        <v>1235604.0262844632</v>
      </c>
      <c r="H30" s="336">
        <f t="shared" si="3"/>
        <v>1821280.3347432988</v>
      </c>
      <c r="I30" s="336"/>
      <c r="J30" s="336">
        <f t="shared" si="4"/>
        <v>1821280.3347432988</v>
      </c>
    </row>
    <row r="31" spans="1:10">
      <c r="A31" s="305">
        <v>7</v>
      </c>
      <c r="B31" s="307" t="s">
        <v>348</v>
      </c>
      <c r="C31" s="352" t="s">
        <v>322</v>
      </c>
      <c r="D31" s="355">
        <v>0.34100000000000003</v>
      </c>
      <c r="E31" s="342"/>
      <c r="F31" s="342">
        <f t="shared" si="2"/>
        <v>0.34100000000000003</v>
      </c>
      <c r="G31" s="336">
        <v>81099718.991999239</v>
      </c>
      <c r="H31" s="336">
        <f t="shared" si="3"/>
        <v>27655004.176271744</v>
      </c>
      <c r="I31" s="336"/>
      <c r="J31" s="336">
        <f t="shared" si="4"/>
        <v>27655004.176271744</v>
      </c>
    </row>
    <row r="32" spans="1:10">
      <c r="A32" s="305">
        <v>8</v>
      </c>
      <c r="B32" s="307" t="s">
        <v>345</v>
      </c>
      <c r="C32" s="352" t="s">
        <v>70</v>
      </c>
      <c r="D32" s="355">
        <v>1.8160000000000001</v>
      </c>
      <c r="E32" s="342"/>
      <c r="F32" s="342">
        <f t="shared" si="2"/>
        <v>1.8160000000000001</v>
      </c>
      <c r="G32" s="336">
        <v>216467.65221015</v>
      </c>
      <c r="H32" s="336">
        <f t="shared" si="3"/>
        <v>393105.25641363242</v>
      </c>
      <c r="I32" s="336"/>
      <c r="J32" s="336">
        <f t="shared" si="4"/>
        <v>393105.25641363242</v>
      </c>
    </row>
    <row r="33" spans="1:10">
      <c r="A33" s="305"/>
      <c r="B33" s="308" t="s">
        <v>499</v>
      </c>
      <c r="C33" s="352"/>
      <c r="D33" s="355">
        <v>0</v>
      </c>
      <c r="E33" s="342"/>
      <c r="F33" s="342">
        <f t="shared" si="2"/>
        <v>0</v>
      </c>
      <c r="G33" s="336">
        <v>0</v>
      </c>
      <c r="H33" s="336">
        <f t="shared" si="3"/>
        <v>0</v>
      </c>
      <c r="I33" s="336"/>
      <c r="J33" s="336">
        <f t="shared" si="4"/>
        <v>0</v>
      </c>
    </row>
    <row r="34" spans="1:10" ht="33">
      <c r="A34" s="305">
        <v>9</v>
      </c>
      <c r="B34" s="309" t="s">
        <v>500</v>
      </c>
      <c r="C34" s="352" t="s">
        <v>321</v>
      </c>
      <c r="D34" s="355">
        <v>1.5529999999999999</v>
      </c>
      <c r="E34" s="342"/>
      <c r="F34" s="342">
        <f t="shared" si="2"/>
        <v>1.5529999999999999</v>
      </c>
      <c r="G34" s="336">
        <v>869256.05268892506</v>
      </c>
      <c r="H34" s="336">
        <f t="shared" si="3"/>
        <v>1349954.6498259006</v>
      </c>
      <c r="I34" s="336"/>
      <c r="J34" s="336">
        <f t="shared" si="4"/>
        <v>1349954.6498259006</v>
      </c>
    </row>
    <row r="35" spans="1:10">
      <c r="A35" s="305">
        <v>10</v>
      </c>
      <c r="B35" s="309" t="s">
        <v>501</v>
      </c>
      <c r="C35" s="352" t="s">
        <v>106</v>
      </c>
      <c r="D35" s="355">
        <v>0.48</v>
      </c>
      <c r="E35" s="342"/>
      <c r="F35" s="342">
        <f t="shared" si="2"/>
        <v>0.48</v>
      </c>
      <c r="G35" s="336">
        <v>265539806.91625923</v>
      </c>
      <c r="H35" s="336">
        <f t="shared" si="3"/>
        <v>127459107.31980443</v>
      </c>
      <c r="I35" s="336"/>
      <c r="J35" s="336">
        <f t="shared" si="4"/>
        <v>127459107.31980443</v>
      </c>
    </row>
    <row r="36" spans="1:10">
      <c r="A36" s="305">
        <v>11</v>
      </c>
      <c r="B36" s="309" t="s">
        <v>352</v>
      </c>
      <c r="C36" s="352" t="s">
        <v>324</v>
      </c>
      <c r="D36" s="355">
        <v>4.32</v>
      </c>
      <c r="E36" s="342"/>
      <c r="F36" s="342">
        <f t="shared" si="2"/>
        <v>4.32</v>
      </c>
      <c r="G36" s="336">
        <v>1528207.3601667725</v>
      </c>
      <c r="H36" s="336">
        <f t="shared" si="3"/>
        <v>6601855.7959204577</v>
      </c>
      <c r="I36" s="336"/>
      <c r="J36" s="336">
        <f t="shared" si="4"/>
        <v>6601855.7959204577</v>
      </c>
    </row>
    <row r="37" spans="1:10" ht="33">
      <c r="A37" s="305">
        <v>12</v>
      </c>
      <c r="B37" s="309" t="s">
        <v>356</v>
      </c>
      <c r="C37" s="352" t="s">
        <v>324</v>
      </c>
      <c r="D37" s="355">
        <v>4.32</v>
      </c>
      <c r="E37" s="342"/>
      <c r="F37" s="342">
        <f t="shared" si="2"/>
        <v>4.32</v>
      </c>
      <c r="G37" s="336">
        <v>325357.39665435604</v>
      </c>
      <c r="H37" s="336">
        <f t="shared" si="3"/>
        <v>1405543.9535468181</v>
      </c>
      <c r="I37" s="336"/>
      <c r="J37" s="336">
        <f t="shared" si="4"/>
        <v>1405543.9535468181</v>
      </c>
    </row>
    <row r="38" spans="1:10">
      <c r="A38" s="305">
        <v>13</v>
      </c>
      <c r="B38" s="309" t="s">
        <v>501</v>
      </c>
      <c r="C38" s="352" t="s">
        <v>106</v>
      </c>
      <c r="D38" s="355">
        <v>0.48</v>
      </c>
      <c r="E38" s="342"/>
      <c r="F38" s="342">
        <f t="shared" si="2"/>
        <v>0.48</v>
      </c>
      <c r="G38" s="336">
        <v>4541731.8832607036</v>
      </c>
      <c r="H38" s="336">
        <f t="shared" si="3"/>
        <v>2180031.3039651378</v>
      </c>
      <c r="I38" s="336"/>
      <c r="J38" s="336">
        <f t="shared" si="4"/>
        <v>2180031.3039651378</v>
      </c>
    </row>
    <row r="39" spans="1:10">
      <c r="A39" s="305"/>
      <c r="B39" s="308" t="s">
        <v>502</v>
      </c>
      <c r="C39" s="352"/>
      <c r="D39" s="355">
        <v>0</v>
      </c>
      <c r="E39" s="342"/>
      <c r="F39" s="342">
        <f t="shared" si="2"/>
        <v>0</v>
      </c>
      <c r="G39" s="336">
        <v>0</v>
      </c>
      <c r="H39" s="336">
        <f t="shared" si="3"/>
        <v>0</v>
      </c>
      <c r="I39" s="336"/>
      <c r="J39" s="336">
        <f t="shared" si="4"/>
        <v>0</v>
      </c>
    </row>
    <row r="40" spans="1:10">
      <c r="A40" s="305">
        <v>14</v>
      </c>
      <c r="B40" s="309" t="s">
        <v>367</v>
      </c>
      <c r="C40" s="352" t="s">
        <v>325</v>
      </c>
      <c r="D40" s="355">
        <v>1.1970000000000001</v>
      </c>
      <c r="E40" s="342"/>
      <c r="F40" s="342">
        <f t="shared" si="2"/>
        <v>1.1970000000000001</v>
      </c>
      <c r="G40" s="336">
        <v>2389507.7110639899</v>
      </c>
      <c r="H40" s="336">
        <f t="shared" si="3"/>
        <v>2860240.730143596</v>
      </c>
      <c r="I40" s="336"/>
      <c r="J40" s="336">
        <f t="shared" si="4"/>
        <v>2860240.730143596</v>
      </c>
    </row>
    <row r="41" spans="1:10">
      <c r="A41" s="303">
        <v>15</v>
      </c>
      <c r="B41" s="309" t="s">
        <v>503</v>
      </c>
      <c r="C41" s="352" t="s">
        <v>504</v>
      </c>
      <c r="D41" s="355">
        <v>6.0000000000000001E-3</v>
      </c>
      <c r="E41" s="342"/>
      <c r="F41" s="342">
        <f t="shared" si="2"/>
        <v>6.0000000000000001E-3</v>
      </c>
      <c r="G41" s="336">
        <v>22449267.621163417</v>
      </c>
      <c r="H41" s="336">
        <f t="shared" si="3"/>
        <v>134695.60572698052</v>
      </c>
      <c r="I41" s="336"/>
      <c r="J41" s="336">
        <f t="shared" si="4"/>
        <v>134695.60572698052</v>
      </c>
    </row>
    <row r="42" spans="1:10">
      <c r="A42" s="303"/>
      <c r="B42" s="306" t="s">
        <v>505</v>
      </c>
      <c r="C42" s="352"/>
      <c r="D42" s="355">
        <v>0</v>
      </c>
      <c r="E42" s="342"/>
      <c r="F42" s="342">
        <f t="shared" si="2"/>
        <v>0</v>
      </c>
      <c r="G42" s="336">
        <v>0</v>
      </c>
      <c r="H42" s="336">
        <f t="shared" si="3"/>
        <v>0</v>
      </c>
      <c r="I42" s="336"/>
      <c r="J42" s="336">
        <f t="shared" si="4"/>
        <v>0</v>
      </c>
    </row>
    <row r="43" spans="1:10">
      <c r="A43" s="303">
        <v>16</v>
      </c>
      <c r="B43" s="309" t="s">
        <v>506</v>
      </c>
      <c r="C43" s="352" t="s">
        <v>507</v>
      </c>
      <c r="D43" s="355">
        <v>12</v>
      </c>
      <c r="E43" s="342"/>
      <c r="F43" s="342">
        <f t="shared" si="2"/>
        <v>12</v>
      </c>
      <c r="G43" s="336">
        <v>540104.64721076598</v>
      </c>
      <c r="H43" s="336">
        <f t="shared" si="3"/>
        <v>6481255.7665291913</v>
      </c>
      <c r="I43" s="336"/>
      <c r="J43" s="336">
        <f t="shared" si="4"/>
        <v>6481255.7665291913</v>
      </c>
    </row>
    <row r="44" spans="1:10">
      <c r="A44" s="303">
        <v>17</v>
      </c>
      <c r="B44" s="309" t="s">
        <v>508</v>
      </c>
      <c r="C44" s="352" t="s">
        <v>509</v>
      </c>
      <c r="D44" s="355">
        <v>4</v>
      </c>
      <c r="E44" s="342"/>
      <c r="F44" s="342">
        <f t="shared" si="2"/>
        <v>4</v>
      </c>
      <c r="G44" s="336">
        <v>592767.30985550093</v>
      </c>
      <c r="H44" s="336">
        <f t="shared" si="3"/>
        <v>2371069.2394220037</v>
      </c>
      <c r="I44" s="336"/>
      <c r="J44" s="336">
        <f t="shared" si="4"/>
        <v>2371069.2394220037</v>
      </c>
    </row>
    <row r="45" spans="1:10">
      <c r="A45" s="303">
        <v>18</v>
      </c>
      <c r="B45" s="309" t="s">
        <v>510</v>
      </c>
      <c r="C45" s="352" t="s">
        <v>504</v>
      </c>
      <c r="D45" s="355">
        <v>5.6849999999999996</v>
      </c>
      <c r="E45" s="342"/>
      <c r="F45" s="342">
        <f t="shared" si="2"/>
        <v>5.6849999999999996</v>
      </c>
      <c r="G45" s="336">
        <v>1490972.5879391199</v>
      </c>
      <c r="H45" s="336">
        <f t="shared" si="3"/>
        <v>8476179.1624338962</v>
      </c>
      <c r="I45" s="336"/>
      <c r="J45" s="336">
        <f t="shared" si="4"/>
        <v>8476179.1624338962</v>
      </c>
    </row>
    <row r="46" spans="1:10">
      <c r="A46" s="303">
        <v>19</v>
      </c>
      <c r="B46" s="307" t="s">
        <v>366</v>
      </c>
      <c r="C46" s="352" t="s">
        <v>324</v>
      </c>
      <c r="D46" s="355">
        <v>1.1200000000000001</v>
      </c>
      <c r="E46" s="342"/>
      <c r="F46" s="342">
        <f t="shared" si="2"/>
        <v>1.1200000000000001</v>
      </c>
      <c r="G46" s="336">
        <v>10347238.214029023</v>
      </c>
      <c r="H46" s="336">
        <f t="shared" si="3"/>
        <v>11588906.799712507</v>
      </c>
      <c r="I46" s="336"/>
      <c r="J46" s="336">
        <f t="shared" si="4"/>
        <v>11588906.799712507</v>
      </c>
    </row>
    <row r="47" spans="1:10">
      <c r="A47" s="303">
        <v>20</v>
      </c>
      <c r="B47" s="309" t="s">
        <v>358</v>
      </c>
      <c r="C47" s="352" t="s">
        <v>323</v>
      </c>
      <c r="D47" s="355">
        <v>20.5</v>
      </c>
      <c r="E47" s="342"/>
      <c r="F47" s="342">
        <f t="shared" si="2"/>
        <v>20.5</v>
      </c>
      <c r="G47" s="336">
        <v>544091.62329219503</v>
      </c>
      <c r="H47" s="336">
        <f t="shared" si="3"/>
        <v>11153878.277489997</v>
      </c>
      <c r="I47" s="336"/>
      <c r="J47" s="336">
        <f t="shared" si="4"/>
        <v>11153878.277489997</v>
      </c>
    </row>
    <row r="48" spans="1:10">
      <c r="A48" s="310"/>
      <c r="B48" s="304" t="s">
        <v>511</v>
      </c>
      <c r="C48" s="352"/>
      <c r="D48" s="340"/>
      <c r="E48" s="342"/>
      <c r="F48" s="342">
        <f t="shared" si="2"/>
        <v>0</v>
      </c>
      <c r="G48" s="336"/>
      <c r="H48" s="336">
        <f t="shared" si="3"/>
        <v>0</v>
      </c>
      <c r="I48" s="336"/>
      <c r="J48" s="336">
        <f t="shared" si="4"/>
        <v>0</v>
      </c>
    </row>
    <row r="49" spans="1:10">
      <c r="A49" s="305"/>
      <c r="B49" s="308" t="s">
        <v>512</v>
      </c>
      <c r="C49" s="352"/>
      <c r="D49" s="340"/>
      <c r="E49" s="342"/>
      <c r="F49" s="342">
        <f t="shared" si="2"/>
        <v>0</v>
      </c>
      <c r="G49" s="336"/>
      <c r="H49" s="336">
        <f t="shared" si="3"/>
        <v>0</v>
      </c>
      <c r="I49" s="336"/>
      <c r="J49" s="336">
        <f t="shared" si="4"/>
        <v>0</v>
      </c>
    </row>
    <row r="50" spans="1:10" ht="33">
      <c r="A50" s="303">
        <v>21</v>
      </c>
      <c r="B50" s="307" t="s">
        <v>362</v>
      </c>
      <c r="C50" s="352" t="s">
        <v>324</v>
      </c>
      <c r="D50" s="355">
        <v>2.5350000000000001</v>
      </c>
      <c r="E50" s="342"/>
      <c r="F50" s="342">
        <f t="shared" si="2"/>
        <v>2.5350000000000001</v>
      </c>
      <c r="G50" s="336">
        <v>36335388.097262233</v>
      </c>
      <c r="H50" s="336">
        <f t="shared" si="3"/>
        <v>92110208.826559767</v>
      </c>
      <c r="I50" s="336"/>
      <c r="J50" s="336">
        <f t="shared" si="4"/>
        <v>92110208.826559767</v>
      </c>
    </row>
    <row r="51" spans="1:10" ht="33">
      <c r="A51" s="303">
        <v>23</v>
      </c>
      <c r="B51" s="307" t="s">
        <v>363</v>
      </c>
      <c r="C51" s="352" t="s">
        <v>324</v>
      </c>
      <c r="D51" s="355">
        <v>0.58499999999999996</v>
      </c>
      <c r="E51" s="342"/>
      <c r="F51" s="342">
        <f t="shared" si="2"/>
        <v>0.58499999999999996</v>
      </c>
      <c r="G51" s="336">
        <v>27251541.194615819</v>
      </c>
      <c r="H51" s="336">
        <f t="shared" si="3"/>
        <v>15942151.598850252</v>
      </c>
      <c r="I51" s="336"/>
      <c r="J51" s="336">
        <f t="shared" si="4"/>
        <v>15942151.598850252</v>
      </c>
    </row>
    <row r="52" spans="1:10">
      <c r="A52" s="303">
        <v>24</v>
      </c>
      <c r="B52" s="307" t="s">
        <v>513</v>
      </c>
      <c r="C52" s="352" t="s">
        <v>504</v>
      </c>
      <c r="D52" s="355">
        <v>14.29</v>
      </c>
      <c r="E52" s="342"/>
      <c r="F52" s="342">
        <f t="shared" si="2"/>
        <v>14.29</v>
      </c>
      <c r="G52" s="336">
        <v>1414136.3361682652</v>
      </c>
      <c r="H52" s="336">
        <f t="shared" si="3"/>
        <v>20208008.243844509</v>
      </c>
      <c r="I52" s="336"/>
      <c r="J52" s="336">
        <f t="shared" si="4"/>
        <v>20208008.243844509</v>
      </c>
    </row>
    <row r="53" spans="1:10">
      <c r="A53" s="303">
        <v>25</v>
      </c>
      <c r="B53" s="307" t="s">
        <v>380</v>
      </c>
      <c r="C53" s="352" t="s">
        <v>504</v>
      </c>
      <c r="D53" s="355">
        <v>0.74199999999999999</v>
      </c>
      <c r="E53" s="342"/>
      <c r="F53" s="342">
        <f t="shared" si="2"/>
        <v>0.74199999999999999</v>
      </c>
      <c r="G53" s="336">
        <v>9410025.444333382</v>
      </c>
      <c r="H53" s="336">
        <f t="shared" si="3"/>
        <v>6982238.8796953689</v>
      </c>
      <c r="I53" s="336"/>
      <c r="J53" s="336">
        <f t="shared" si="4"/>
        <v>6982238.8796953689</v>
      </c>
    </row>
    <row r="54" spans="1:10" ht="33">
      <c r="A54" s="303">
        <v>26</v>
      </c>
      <c r="B54" s="307" t="s">
        <v>514</v>
      </c>
      <c r="C54" s="352" t="s">
        <v>504</v>
      </c>
      <c r="D54" s="355">
        <v>0.65300000000000002</v>
      </c>
      <c r="E54" s="342"/>
      <c r="F54" s="342">
        <f t="shared" si="2"/>
        <v>0.65300000000000002</v>
      </c>
      <c r="G54" s="336">
        <v>1414136.3361682652</v>
      </c>
      <c r="H54" s="336">
        <f t="shared" si="3"/>
        <v>923431.02751787717</v>
      </c>
      <c r="I54" s="336"/>
      <c r="J54" s="336">
        <f t="shared" si="4"/>
        <v>923431.02751787717</v>
      </c>
    </row>
    <row r="55" spans="1:10">
      <c r="A55" s="303">
        <v>27</v>
      </c>
      <c r="B55" s="309" t="s">
        <v>515</v>
      </c>
      <c r="C55" s="352" t="s">
        <v>504</v>
      </c>
      <c r="D55" s="355">
        <v>8.8999999999999996E-2</v>
      </c>
      <c r="E55" s="342"/>
      <c r="F55" s="342">
        <f t="shared" si="2"/>
        <v>8.8999999999999996E-2</v>
      </c>
      <c r="G55" s="336">
        <v>19601430.430915311</v>
      </c>
      <c r="H55" s="336">
        <f t="shared" si="3"/>
        <v>1744527.3083514627</v>
      </c>
      <c r="I55" s="336"/>
      <c r="J55" s="336">
        <f t="shared" si="4"/>
        <v>1744527.3083514627</v>
      </c>
    </row>
    <row r="56" spans="1:10">
      <c r="A56" s="303">
        <v>28</v>
      </c>
      <c r="B56" s="307" t="s">
        <v>364</v>
      </c>
      <c r="C56" s="352" t="s">
        <v>504</v>
      </c>
      <c r="D56" s="355">
        <v>0.74199999999999999</v>
      </c>
      <c r="E56" s="342"/>
      <c r="F56" s="342">
        <f t="shared" si="2"/>
        <v>0.74199999999999999</v>
      </c>
      <c r="G56" s="336">
        <v>6080313.1193965599</v>
      </c>
      <c r="H56" s="336">
        <f t="shared" si="3"/>
        <v>4511592.3345922474</v>
      </c>
      <c r="I56" s="336"/>
      <c r="J56" s="336">
        <f t="shared" si="4"/>
        <v>4511592.3345922474</v>
      </c>
    </row>
    <row r="57" spans="1:10">
      <c r="A57" s="303">
        <v>29</v>
      </c>
      <c r="B57" s="307" t="s">
        <v>365</v>
      </c>
      <c r="C57" s="352" t="s">
        <v>504</v>
      </c>
      <c r="D57" s="355">
        <v>0.74199999999999999</v>
      </c>
      <c r="E57" s="342"/>
      <c r="F57" s="342">
        <f t="shared" si="2"/>
        <v>0.74199999999999999</v>
      </c>
      <c r="G57" s="336">
        <v>3640153.3282428598</v>
      </c>
      <c r="H57" s="336">
        <f t="shared" si="3"/>
        <v>2700993.769556202</v>
      </c>
      <c r="I57" s="336"/>
      <c r="J57" s="336">
        <f t="shared" si="4"/>
        <v>2700993.769556202</v>
      </c>
    </row>
    <row r="58" spans="1:10" ht="33">
      <c r="A58" s="303">
        <v>30</v>
      </c>
      <c r="B58" s="309" t="s">
        <v>351</v>
      </c>
      <c r="C58" s="352" t="s">
        <v>324</v>
      </c>
      <c r="D58" s="355">
        <v>11.76</v>
      </c>
      <c r="E58" s="342"/>
      <c r="F58" s="342">
        <f t="shared" si="2"/>
        <v>11.76</v>
      </c>
      <c r="G58" s="336">
        <v>5280236.9235888254</v>
      </c>
      <c r="H58" s="336">
        <f t="shared" si="3"/>
        <v>62095586.221404582</v>
      </c>
      <c r="I58" s="336"/>
      <c r="J58" s="336">
        <f t="shared" si="4"/>
        <v>62095586.221404582</v>
      </c>
    </row>
    <row r="59" spans="1:10">
      <c r="A59" s="303">
        <v>31</v>
      </c>
      <c r="B59" s="309" t="s">
        <v>348</v>
      </c>
      <c r="C59" s="352" t="s">
        <v>322</v>
      </c>
      <c r="D59" s="355">
        <v>7.8E-2</v>
      </c>
      <c r="E59" s="342"/>
      <c r="F59" s="342">
        <f t="shared" si="2"/>
        <v>7.8E-2</v>
      </c>
      <c r="G59" s="336">
        <v>81099718.991999239</v>
      </c>
      <c r="H59" s="336">
        <f t="shared" si="3"/>
        <v>6325778.0813759407</v>
      </c>
      <c r="I59" s="336"/>
      <c r="J59" s="336">
        <f t="shared" si="4"/>
        <v>6325778.0813759407</v>
      </c>
    </row>
    <row r="60" spans="1:10">
      <c r="A60" s="303">
        <v>32</v>
      </c>
      <c r="B60" s="309" t="s">
        <v>354</v>
      </c>
      <c r="C60" s="352" t="s">
        <v>320</v>
      </c>
      <c r="D60" s="355">
        <v>0.78900000000000003</v>
      </c>
      <c r="E60" s="342"/>
      <c r="F60" s="342">
        <f t="shared" si="2"/>
        <v>0.78900000000000003</v>
      </c>
      <c r="G60" s="336">
        <v>19155571.308668852</v>
      </c>
      <c r="H60" s="336">
        <f t="shared" si="3"/>
        <v>15113745.762539724</v>
      </c>
      <c r="I60" s="336"/>
      <c r="J60" s="336">
        <f t="shared" si="4"/>
        <v>15113745.762539724</v>
      </c>
    </row>
    <row r="61" spans="1:10">
      <c r="A61" s="303">
        <v>33</v>
      </c>
      <c r="B61" s="309" t="s">
        <v>349</v>
      </c>
      <c r="C61" s="352" t="s">
        <v>323</v>
      </c>
      <c r="D61" s="355">
        <v>91.72</v>
      </c>
      <c r="E61" s="342"/>
      <c r="F61" s="342">
        <f t="shared" si="2"/>
        <v>91.72</v>
      </c>
      <c r="G61" s="336">
        <v>499374.96253281418</v>
      </c>
      <c r="H61" s="336">
        <f t="shared" si="3"/>
        <v>45802671.563509718</v>
      </c>
      <c r="I61" s="336"/>
      <c r="J61" s="336">
        <f t="shared" si="4"/>
        <v>45802671.563509718</v>
      </c>
    </row>
    <row r="62" spans="1:10">
      <c r="A62" s="303">
        <v>34</v>
      </c>
      <c r="B62" s="309" t="s">
        <v>353</v>
      </c>
      <c r="C62" s="352" t="s">
        <v>325</v>
      </c>
      <c r="D62" s="355">
        <v>0.154</v>
      </c>
      <c r="E62" s="342"/>
      <c r="F62" s="342">
        <f t="shared" si="2"/>
        <v>0.154</v>
      </c>
      <c r="G62" s="336">
        <v>636406.25898883003</v>
      </c>
      <c r="H62" s="336">
        <f t="shared" si="3"/>
        <v>98006.563884279822</v>
      </c>
      <c r="I62" s="336"/>
      <c r="J62" s="336">
        <f t="shared" si="4"/>
        <v>98006.563884279822</v>
      </c>
    </row>
    <row r="63" spans="1:10">
      <c r="A63" s="303">
        <v>35</v>
      </c>
      <c r="B63" s="309" t="s">
        <v>396</v>
      </c>
      <c r="C63" s="352" t="s">
        <v>325</v>
      </c>
      <c r="D63" s="355">
        <v>0.96</v>
      </c>
      <c r="E63" s="342"/>
      <c r="F63" s="342">
        <f t="shared" si="2"/>
        <v>0.96</v>
      </c>
      <c r="G63" s="336">
        <v>2389507.7110639899</v>
      </c>
      <c r="H63" s="336">
        <f t="shared" si="3"/>
        <v>2293927.4026214303</v>
      </c>
      <c r="I63" s="336"/>
      <c r="J63" s="336">
        <f t="shared" si="4"/>
        <v>2293927.4026214303</v>
      </c>
    </row>
    <row r="64" spans="1:10">
      <c r="A64" s="303">
        <v>36</v>
      </c>
      <c r="B64" s="309" t="s">
        <v>438</v>
      </c>
      <c r="C64" s="352" t="s">
        <v>509</v>
      </c>
      <c r="D64" s="355">
        <v>14</v>
      </c>
      <c r="E64" s="342"/>
      <c r="F64" s="342">
        <f t="shared" si="2"/>
        <v>14</v>
      </c>
      <c r="G64" s="336">
        <v>96127.503237292985</v>
      </c>
      <c r="H64" s="336">
        <f t="shared" si="3"/>
        <v>1345785.0453221018</v>
      </c>
      <c r="I64" s="336"/>
      <c r="J64" s="336">
        <f t="shared" si="4"/>
        <v>1345785.0453221018</v>
      </c>
    </row>
    <row r="65" spans="1:10">
      <c r="A65" s="303">
        <v>37</v>
      </c>
      <c r="B65" s="307" t="s">
        <v>516</v>
      </c>
      <c r="C65" s="352" t="s">
        <v>328</v>
      </c>
      <c r="D65" s="355">
        <v>0.39</v>
      </c>
      <c r="E65" s="342"/>
      <c r="F65" s="342">
        <f t="shared" si="2"/>
        <v>0.39</v>
      </c>
      <c r="G65" s="336">
        <v>1913905.107270387</v>
      </c>
      <c r="H65" s="336">
        <f t="shared" si="3"/>
        <v>746422.99183545099</v>
      </c>
      <c r="I65" s="336"/>
      <c r="J65" s="336">
        <f t="shared" si="4"/>
        <v>746422.99183545099</v>
      </c>
    </row>
    <row r="66" spans="1:10">
      <c r="A66" s="303">
        <v>38</v>
      </c>
      <c r="B66" s="307" t="s">
        <v>366</v>
      </c>
      <c r="C66" s="352" t="s">
        <v>324</v>
      </c>
      <c r="D66" s="355">
        <v>2.5350000000000001</v>
      </c>
      <c r="E66" s="342"/>
      <c r="F66" s="342">
        <f t="shared" si="2"/>
        <v>2.5350000000000001</v>
      </c>
      <c r="G66" s="336">
        <v>10347238.214029023</v>
      </c>
      <c r="H66" s="336">
        <f t="shared" si="3"/>
        <v>26230248.872563574</v>
      </c>
      <c r="I66" s="336"/>
      <c r="J66" s="336">
        <f t="shared" si="4"/>
        <v>26230248.872563574</v>
      </c>
    </row>
    <row r="67" spans="1:10" ht="33">
      <c r="A67" s="303">
        <v>39</v>
      </c>
      <c r="B67" s="309" t="s">
        <v>355</v>
      </c>
      <c r="C67" s="352" t="s">
        <v>324</v>
      </c>
      <c r="D67" s="355">
        <v>11.76</v>
      </c>
      <c r="E67" s="342"/>
      <c r="F67" s="342">
        <f t="shared" si="2"/>
        <v>11.76</v>
      </c>
      <c r="G67" s="336">
        <v>1146906.249142335</v>
      </c>
      <c r="H67" s="336">
        <f t="shared" si="3"/>
        <v>13487617.48991386</v>
      </c>
      <c r="I67" s="336"/>
      <c r="J67" s="336">
        <f t="shared" si="4"/>
        <v>13487617.48991386</v>
      </c>
    </row>
    <row r="68" spans="1:10">
      <c r="A68" s="303">
        <v>40</v>
      </c>
      <c r="B68" s="309" t="s">
        <v>517</v>
      </c>
      <c r="C68" s="352" t="s">
        <v>321</v>
      </c>
      <c r="D68" s="355">
        <v>1.427</v>
      </c>
      <c r="E68" s="342"/>
      <c r="F68" s="342">
        <f t="shared" si="2"/>
        <v>1.427</v>
      </c>
      <c r="G68" s="336">
        <v>869256.05268892506</v>
      </c>
      <c r="H68" s="336">
        <f t="shared" si="3"/>
        <v>1240428.3871870961</v>
      </c>
      <c r="I68" s="336"/>
      <c r="J68" s="336">
        <f t="shared" si="4"/>
        <v>1240428.3871870961</v>
      </c>
    </row>
    <row r="69" spans="1:10">
      <c r="A69" s="305"/>
      <c r="B69" s="308" t="s">
        <v>518</v>
      </c>
      <c r="C69" s="352"/>
      <c r="D69" s="355">
        <v>0</v>
      </c>
      <c r="E69" s="342"/>
      <c r="F69" s="342">
        <f t="shared" si="2"/>
        <v>0</v>
      </c>
      <c r="G69" s="336">
        <v>0</v>
      </c>
      <c r="H69" s="336">
        <f t="shared" si="3"/>
        <v>0</v>
      </c>
      <c r="I69" s="336"/>
      <c r="J69" s="336">
        <f t="shared" si="4"/>
        <v>0</v>
      </c>
    </row>
    <row r="70" spans="1:10" ht="33">
      <c r="A70" s="303">
        <v>41</v>
      </c>
      <c r="B70" s="307" t="s">
        <v>362</v>
      </c>
      <c r="C70" s="352" t="s">
        <v>324</v>
      </c>
      <c r="D70" s="355">
        <v>4.117</v>
      </c>
      <c r="E70" s="342"/>
      <c r="F70" s="342">
        <f t="shared" si="2"/>
        <v>4.117</v>
      </c>
      <c r="G70" s="336">
        <v>36335388.097262233</v>
      </c>
      <c r="H70" s="336">
        <f t="shared" si="3"/>
        <v>149592792.79642862</v>
      </c>
      <c r="I70" s="336"/>
      <c r="J70" s="336">
        <f t="shared" si="4"/>
        <v>149592792.79642862</v>
      </c>
    </row>
    <row r="71" spans="1:10" ht="33">
      <c r="A71" s="303">
        <v>42</v>
      </c>
      <c r="B71" s="307" t="s">
        <v>363</v>
      </c>
      <c r="C71" s="352" t="s">
        <v>324</v>
      </c>
      <c r="D71" s="355">
        <v>1.403</v>
      </c>
      <c r="E71" s="342"/>
      <c r="F71" s="342">
        <f t="shared" si="2"/>
        <v>1.403</v>
      </c>
      <c r="G71" s="336">
        <v>27251541.194615819</v>
      </c>
      <c r="H71" s="336">
        <f t="shared" si="3"/>
        <v>38233912.296045996</v>
      </c>
      <c r="I71" s="336"/>
      <c r="J71" s="336">
        <f t="shared" si="4"/>
        <v>38233912.296045996</v>
      </c>
    </row>
    <row r="72" spans="1:10">
      <c r="A72" s="303">
        <v>43</v>
      </c>
      <c r="B72" s="307" t="s">
        <v>513</v>
      </c>
      <c r="C72" s="352" t="s">
        <v>504</v>
      </c>
      <c r="D72" s="355">
        <v>25.282</v>
      </c>
      <c r="E72" s="342"/>
      <c r="F72" s="342">
        <f t="shared" si="2"/>
        <v>25.282</v>
      </c>
      <c r="G72" s="336">
        <v>1414136.3361682652</v>
      </c>
      <c r="H72" s="336">
        <f t="shared" si="3"/>
        <v>35752194.851006083</v>
      </c>
      <c r="I72" s="336"/>
      <c r="J72" s="336">
        <f t="shared" si="4"/>
        <v>35752194.851006083</v>
      </c>
    </row>
    <row r="73" spans="1:10">
      <c r="A73" s="303">
        <v>44</v>
      </c>
      <c r="B73" s="307" t="s">
        <v>380</v>
      </c>
      <c r="C73" s="352" t="s">
        <v>504</v>
      </c>
      <c r="D73" s="355">
        <v>1.357</v>
      </c>
      <c r="E73" s="342"/>
      <c r="F73" s="342">
        <f t="shared" si="2"/>
        <v>1.357</v>
      </c>
      <c r="G73" s="336">
        <v>9410025.444333382</v>
      </c>
      <c r="H73" s="336">
        <f t="shared" si="3"/>
        <v>12769404.527960399</v>
      </c>
      <c r="I73" s="336"/>
      <c r="J73" s="336">
        <f t="shared" si="4"/>
        <v>12769404.527960399</v>
      </c>
    </row>
    <row r="74" spans="1:10" ht="33">
      <c r="A74" s="303">
        <v>45</v>
      </c>
      <c r="B74" s="307" t="s">
        <v>514</v>
      </c>
      <c r="C74" s="352" t="s">
        <v>504</v>
      </c>
      <c r="D74" s="355">
        <v>1.1970000000000001</v>
      </c>
      <c r="E74" s="342"/>
      <c r="F74" s="342">
        <f t="shared" si="2"/>
        <v>1.1970000000000001</v>
      </c>
      <c r="G74" s="336">
        <v>1414136.3361682652</v>
      </c>
      <c r="H74" s="336">
        <f t="shared" si="3"/>
        <v>1692721.1943934136</v>
      </c>
      <c r="I74" s="336"/>
      <c r="J74" s="336">
        <f t="shared" si="4"/>
        <v>1692721.1943934136</v>
      </c>
    </row>
    <row r="75" spans="1:10">
      <c r="A75" s="303">
        <v>46</v>
      </c>
      <c r="B75" s="309" t="s">
        <v>515</v>
      </c>
      <c r="C75" s="352" t="s">
        <v>504</v>
      </c>
      <c r="D75" s="355">
        <v>0.16</v>
      </c>
      <c r="E75" s="342"/>
      <c r="F75" s="342">
        <f t="shared" si="2"/>
        <v>0.16</v>
      </c>
      <c r="G75" s="336">
        <v>19601430.430915311</v>
      </c>
      <c r="H75" s="336">
        <f t="shared" si="3"/>
        <v>3136228.8689464498</v>
      </c>
      <c r="I75" s="336"/>
      <c r="J75" s="336">
        <f t="shared" si="4"/>
        <v>3136228.8689464498</v>
      </c>
    </row>
    <row r="76" spans="1:10">
      <c r="A76" s="303">
        <v>47</v>
      </c>
      <c r="B76" s="307" t="s">
        <v>364</v>
      </c>
      <c r="C76" s="352" t="s">
        <v>504</v>
      </c>
      <c r="D76" s="355">
        <v>1.357</v>
      </c>
      <c r="E76" s="342"/>
      <c r="F76" s="342">
        <f t="shared" si="2"/>
        <v>1.357</v>
      </c>
      <c r="G76" s="336">
        <v>6080313.1193965599</v>
      </c>
      <c r="H76" s="336">
        <f t="shared" si="3"/>
        <v>8250984.9030211316</v>
      </c>
      <c r="I76" s="336"/>
      <c r="J76" s="336">
        <f t="shared" si="4"/>
        <v>8250984.9030211316</v>
      </c>
    </row>
    <row r="77" spans="1:10">
      <c r="A77" s="303">
        <v>48</v>
      </c>
      <c r="B77" s="307" t="s">
        <v>365</v>
      </c>
      <c r="C77" s="352" t="s">
        <v>504</v>
      </c>
      <c r="D77" s="355">
        <v>1.357</v>
      </c>
      <c r="E77" s="342"/>
      <c r="F77" s="342">
        <f t="shared" si="2"/>
        <v>1.357</v>
      </c>
      <c r="G77" s="336">
        <v>3640153.3282428598</v>
      </c>
      <c r="H77" s="336">
        <f t="shared" si="3"/>
        <v>4939688.066425561</v>
      </c>
      <c r="I77" s="336"/>
      <c r="J77" s="336">
        <f t="shared" si="4"/>
        <v>4939688.066425561</v>
      </c>
    </row>
    <row r="78" spans="1:10" ht="33">
      <c r="A78" s="303">
        <v>49</v>
      </c>
      <c r="B78" s="309" t="s">
        <v>351</v>
      </c>
      <c r="C78" s="352" t="s">
        <v>324</v>
      </c>
      <c r="D78" s="355">
        <v>22.12</v>
      </c>
      <c r="E78" s="342"/>
      <c r="F78" s="342">
        <f t="shared" si="2"/>
        <v>22.12</v>
      </c>
      <c r="G78" s="336">
        <v>5280236.9235888254</v>
      </c>
      <c r="H78" s="336">
        <f t="shared" si="3"/>
        <v>116798840.74978483</v>
      </c>
      <c r="I78" s="336"/>
      <c r="J78" s="336">
        <f t="shared" si="4"/>
        <v>116798840.74978483</v>
      </c>
    </row>
    <row r="79" spans="1:10">
      <c r="A79" s="303">
        <v>50</v>
      </c>
      <c r="B79" s="309" t="s">
        <v>354</v>
      </c>
      <c r="C79" s="352" t="s">
        <v>320</v>
      </c>
      <c r="D79" s="355">
        <v>3.903</v>
      </c>
      <c r="E79" s="342"/>
      <c r="F79" s="342">
        <f t="shared" si="2"/>
        <v>3.903</v>
      </c>
      <c r="G79" s="336">
        <v>19155571.308668852</v>
      </c>
      <c r="H79" s="336">
        <f t="shared" si="3"/>
        <v>74764194.817734525</v>
      </c>
      <c r="I79" s="336"/>
      <c r="J79" s="336">
        <f t="shared" si="4"/>
        <v>74764194.817734525</v>
      </c>
    </row>
    <row r="80" spans="1:10">
      <c r="A80" s="303">
        <v>51</v>
      </c>
      <c r="B80" s="309" t="s">
        <v>349</v>
      </c>
      <c r="C80" s="352" t="s">
        <v>323</v>
      </c>
      <c r="D80" s="355">
        <v>344.63</v>
      </c>
      <c r="E80" s="342"/>
      <c r="F80" s="342">
        <f t="shared" si="2"/>
        <v>344.63</v>
      </c>
      <c r="G80" s="336">
        <v>499374.96253281418</v>
      </c>
      <c r="H80" s="336">
        <f t="shared" si="3"/>
        <v>172099593.33768374</v>
      </c>
      <c r="I80" s="336"/>
      <c r="J80" s="336">
        <f t="shared" si="4"/>
        <v>172099593.33768374</v>
      </c>
    </row>
    <row r="81" spans="1:10">
      <c r="A81" s="303">
        <v>52</v>
      </c>
      <c r="B81" s="309" t="s">
        <v>353</v>
      </c>
      <c r="C81" s="352" t="s">
        <v>325</v>
      </c>
      <c r="D81" s="355">
        <v>4.335</v>
      </c>
      <c r="E81" s="342"/>
      <c r="F81" s="342">
        <f t="shared" si="2"/>
        <v>4.335</v>
      </c>
      <c r="G81" s="336">
        <v>636406.25898883003</v>
      </c>
      <c r="H81" s="336">
        <f t="shared" si="3"/>
        <v>2758821.132716578</v>
      </c>
      <c r="I81" s="336"/>
      <c r="J81" s="336">
        <f t="shared" si="4"/>
        <v>2758821.132716578</v>
      </c>
    </row>
    <row r="82" spans="1:10">
      <c r="A82" s="303">
        <v>53</v>
      </c>
      <c r="B82" s="309" t="s">
        <v>396</v>
      </c>
      <c r="C82" s="352" t="s">
        <v>325</v>
      </c>
      <c r="D82" s="355">
        <v>2.024</v>
      </c>
      <c r="E82" s="342"/>
      <c r="F82" s="342">
        <f t="shared" si="2"/>
        <v>2.024</v>
      </c>
      <c r="G82" s="336">
        <v>2389507.7110639899</v>
      </c>
      <c r="H82" s="336">
        <f t="shared" si="3"/>
        <v>4836363.6071935156</v>
      </c>
      <c r="I82" s="336"/>
      <c r="J82" s="336">
        <f t="shared" si="4"/>
        <v>4836363.6071935156</v>
      </c>
    </row>
    <row r="83" spans="1:10">
      <c r="A83" s="303">
        <v>54</v>
      </c>
      <c r="B83" s="307" t="s">
        <v>366</v>
      </c>
      <c r="C83" s="352" t="s">
        <v>324</v>
      </c>
      <c r="D83" s="355">
        <v>4.117</v>
      </c>
      <c r="E83" s="342"/>
      <c r="F83" s="342">
        <f t="shared" si="2"/>
        <v>4.117</v>
      </c>
      <c r="G83" s="336">
        <v>10347238.214029023</v>
      </c>
      <c r="H83" s="336">
        <f t="shared" si="3"/>
        <v>42599579.727157488</v>
      </c>
      <c r="I83" s="336"/>
      <c r="J83" s="336">
        <f t="shared" si="4"/>
        <v>42599579.727157488</v>
      </c>
    </row>
    <row r="84" spans="1:10" ht="33">
      <c r="A84" s="303">
        <v>55</v>
      </c>
      <c r="B84" s="309" t="s">
        <v>355</v>
      </c>
      <c r="C84" s="352" t="s">
        <v>324</v>
      </c>
      <c r="D84" s="355">
        <v>22.12</v>
      </c>
      <c r="E84" s="342"/>
      <c r="F84" s="342">
        <f t="shared" si="2"/>
        <v>22.12</v>
      </c>
      <c r="G84" s="336">
        <v>1146906.249142335</v>
      </c>
      <c r="H84" s="336">
        <f t="shared" si="3"/>
        <v>25369566.231028453</v>
      </c>
      <c r="I84" s="336"/>
      <c r="J84" s="336">
        <f t="shared" si="4"/>
        <v>25369566.231028453</v>
      </c>
    </row>
    <row r="85" spans="1:10">
      <c r="A85" s="303">
        <v>56</v>
      </c>
      <c r="B85" s="309" t="s">
        <v>517</v>
      </c>
      <c r="C85" s="352" t="s">
        <v>321</v>
      </c>
      <c r="D85" s="355">
        <v>8.407</v>
      </c>
      <c r="E85" s="342"/>
      <c r="F85" s="342">
        <f t="shared" si="2"/>
        <v>8.407</v>
      </c>
      <c r="G85" s="336">
        <v>869256.05268892506</v>
      </c>
      <c r="H85" s="336">
        <f t="shared" si="3"/>
        <v>7307835.6349557927</v>
      </c>
      <c r="I85" s="336"/>
      <c r="J85" s="336">
        <f t="shared" si="4"/>
        <v>7307835.6349557927</v>
      </c>
    </row>
    <row r="86" spans="1:10">
      <c r="A86" s="311"/>
      <c r="B86" s="306" t="s">
        <v>382</v>
      </c>
      <c r="C86" s="352"/>
      <c r="D86" s="340">
        <v>0</v>
      </c>
      <c r="E86" s="342"/>
      <c r="F86" s="342">
        <f t="shared" si="2"/>
        <v>0</v>
      </c>
      <c r="G86" s="336">
        <v>0</v>
      </c>
      <c r="H86" s="336">
        <f t="shared" si="3"/>
        <v>0</v>
      </c>
      <c r="I86" s="336"/>
      <c r="J86" s="336">
        <f t="shared" si="4"/>
        <v>0</v>
      </c>
    </row>
    <row r="87" spans="1:10">
      <c r="A87" s="305">
        <v>57</v>
      </c>
      <c r="B87" s="309" t="s">
        <v>383</v>
      </c>
      <c r="C87" s="352" t="s">
        <v>320</v>
      </c>
      <c r="D87" s="355">
        <v>0.88500000000000001</v>
      </c>
      <c r="E87" s="342"/>
      <c r="F87" s="342">
        <f t="shared" si="2"/>
        <v>0.88500000000000001</v>
      </c>
      <c r="G87" s="336">
        <v>869256.05268892506</v>
      </c>
      <c r="H87" s="336">
        <f t="shared" si="3"/>
        <v>769291.60662969865</v>
      </c>
      <c r="I87" s="336"/>
      <c r="J87" s="336">
        <f t="shared" si="4"/>
        <v>769291.60662969865</v>
      </c>
    </row>
    <row r="88" spans="1:10">
      <c r="A88" s="305">
        <v>58</v>
      </c>
      <c r="B88" s="307" t="s">
        <v>384</v>
      </c>
      <c r="C88" s="352" t="s">
        <v>30</v>
      </c>
      <c r="D88" s="355">
        <v>106.34</v>
      </c>
      <c r="E88" s="342"/>
      <c r="F88" s="342">
        <f t="shared" si="2"/>
        <v>106.34</v>
      </c>
      <c r="G88" s="336">
        <v>125964.79169214601</v>
      </c>
      <c r="H88" s="336">
        <f t="shared" si="3"/>
        <v>13395095.948542807</v>
      </c>
      <c r="I88" s="336"/>
      <c r="J88" s="336">
        <f t="shared" si="4"/>
        <v>13395095.948542807</v>
      </c>
    </row>
    <row r="89" spans="1:10">
      <c r="A89" s="305">
        <v>59</v>
      </c>
      <c r="B89" s="307" t="s">
        <v>519</v>
      </c>
      <c r="C89" s="352" t="s">
        <v>320</v>
      </c>
      <c r="D89" s="355">
        <v>8.9629999999999992</v>
      </c>
      <c r="E89" s="342"/>
      <c r="F89" s="342">
        <f t="shared" ref="F89:F152" si="5">D89</f>
        <v>8.9629999999999992</v>
      </c>
      <c r="G89" s="336">
        <v>1972724.2284497223</v>
      </c>
      <c r="H89" s="336">
        <f t="shared" ref="H89:H152" si="6">D89*G89</f>
        <v>17681527.259594858</v>
      </c>
      <c r="I89" s="336"/>
      <c r="J89" s="336">
        <f t="shared" ref="J89:J152" si="7">F89*G89</f>
        <v>17681527.259594858</v>
      </c>
    </row>
    <row r="90" spans="1:10" ht="34.5">
      <c r="A90" s="303"/>
      <c r="B90" s="312" t="s">
        <v>520</v>
      </c>
      <c r="C90" s="352"/>
      <c r="D90" s="355">
        <v>0</v>
      </c>
      <c r="E90" s="342"/>
      <c r="F90" s="342">
        <f t="shared" si="5"/>
        <v>0</v>
      </c>
      <c r="G90" s="336">
        <v>0</v>
      </c>
      <c r="H90" s="336">
        <f t="shared" si="6"/>
        <v>0</v>
      </c>
      <c r="I90" s="336"/>
      <c r="J90" s="336">
        <f t="shared" si="7"/>
        <v>0</v>
      </c>
    </row>
    <row r="91" spans="1:10" ht="33">
      <c r="A91" s="303">
        <v>60</v>
      </c>
      <c r="B91" s="313" t="s">
        <v>521</v>
      </c>
      <c r="C91" s="352" t="s">
        <v>70</v>
      </c>
      <c r="D91" s="355">
        <v>8.4610000000000003</v>
      </c>
      <c r="E91" s="342"/>
      <c r="F91" s="342">
        <f t="shared" si="5"/>
        <v>8.4610000000000003</v>
      </c>
      <c r="G91" s="336">
        <v>641833.43269227596</v>
      </c>
      <c r="H91" s="336">
        <f t="shared" si="6"/>
        <v>5430552.6740093473</v>
      </c>
      <c r="I91" s="336"/>
      <c r="J91" s="336">
        <f t="shared" si="7"/>
        <v>5430552.6740093473</v>
      </c>
    </row>
    <row r="92" spans="1:10" ht="33">
      <c r="A92" s="303">
        <v>61</v>
      </c>
      <c r="B92" s="313" t="s">
        <v>522</v>
      </c>
      <c r="C92" s="352" t="s">
        <v>70</v>
      </c>
      <c r="D92" s="355">
        <v>8.4610000000000003</v>
      </c>
      <c r="E92" s="342"/>
      <c r="F92" s="342">
        <f t="shared" si="5"/>
        <v>8.4610000000000003</v>
      </c>
      <c r="G92" s="336">
        <v>2721373.5550778592</v>
      </c>
      <c r="H92" s="336">
        <f t="shared" si="6"/>
        <v>23025541.649513766</v>
      </c>
      <c r="I92" s="336"/>
      <c r="J92" s="336">
        <f t="shared" si="7"/>
        <v>23025541.649513766</v>
      </c>
    </row>
    <row r="93" spans="1:10" ht="33">
      <c r="A93" s="303">
        <v>62</v>
      </c>
      <c r="B93" s="313" t="s">
        <v>523</v>
      </c>
      <c r="C93" s="352" t="s">
        <v>70</v>
      </c>
      <c r="D93" s="355">
        <v>8.4610000000000003</v>
      </c>
      <c r="E93" s="342"/>
      <c r="F93" s="342">
        <f t="shared" si="5"/>
        <v>8.4610000000000003</v>
      </c>
      <c r="G93" s="336">
        <v>6829107.2323024878</v>
      </c>
      <c r="H93" s="336">
        <f t="shared" si="6"/>
        <v>57781076.292511351</v>
      </c>
      <c r="I93" s="336"/>
      <c r="J93" s="336">
        <f t="shared" si="7"/>
        <v>57781076.292511351</v>
      </c>
    </row>
    <row r="94" spans="1:10" ht="33">
      <c r="A94" s="303">
        <v>63</v>
      </c>
      <c r="B94" s="313" t="s">
        <v>524</v>
      </c>
      <c r="C94" s="352" t="s">
        <v>70</v>
      </c>
      <c r="D94" s="355">
        <v>8.4610000000000003</v>
      </c>
      <c r="E94" s="342"/>
      <c r="F94" s="342">
        <f t="shared" si="5"/>
        <v>8.4610000000000003</v>
      </c>
      <c r="G94" s="336">
        <v>944778.76522872702</v>
      </c>
      <c r="H94" s="336">
        <f t="shared" si="6"/>
        <v>7993773.13260026</v>
      </c>
      <c r="I94" s="336"/>
      <c r="J94" s="336">
        <f t="shared" si="7"/>
        <v>7993773.13260026</v>
      </c>
    </row>
    <row r="95" spans="1:10">
      <c r="A95" s="303">
        <v>64</v>
      </c>
      <c r="B95" s="307" t="s">
        <v>385</v>
      </c>
      <c r="C95" s="352" t="s">
        <v>322</v>
      </c>
      <c r="D95" s="355">
        <v>8.4610000000000003</v>
      </c>
      <c r="E95" s="342"/>
      <c r="F95" s="342">
        <f t="shared" si="5"/>
        <v>8.4610000000000003</v>
      </c>
      <c r="G95" s="336">
        <v>216467.65221015</v>
      </c>
      <c r="H95" s="336">
        <f t="shared" si="6"/>
        <v>1831532.8053500792</v>
      </c>
      <c r="I95" s="336"/>
      <c r="J95" s="336">
        <f t="shared" si="7"/>
        <v>1831532.8053500792</v>
      </c>
    </row>
    <row r="96" spans="1:10" ht="33">
      <c r="A96" s="303">
        <v>65</v>
      </c>
      <c r="B96" s="309" t="s">
        <v>525</v>
      </c>
      <c r="C96" s="352" t="s">
        <v>320</v>
      </c>
      <c r="D96" s="355">
        <v>1.1890000000000001</v>
      </c>
      <c r="E96" s="342"/>
      <c r="F96" s="342">
        <f t="shared" si="5"/>
        <v>1.1890000000000001</v>
      </c>
      <c r="G96" s="336">
        <v>3782584.3348013824</v>
      </c>
      <c r="H96" s="336">
        <f t="shared" si="6"/>
        <v>4497492.7740788441</v>
      </c>
      <c r="I96" s="336"/>
      <c r="J96" s="336">
        <f t="shared" si="7"/>
        <v>4497492.7740788441</v>
      </c>
    </row>
    <row r="97" spans="1:10">
      <c r="A97" s="303">
        <v>66</v>
      </c>
      <c r="B97" s="309" t="s">
        <v>354</v>
      </c>
      <c r="C97" s="352" t="s">
        <v>320</v>
      </c>
      <c r="D97" s="355">
        <v>9.6859999999999999</v>
      </c>
      <c r="E97" s="342"/>
      <c r="F97" s="342">
        <f t="shared" si="5"/>
        <v>9.6859999999999999</v>
      </c>
      <c r="G97" s="336">
        <v>19155571.308668852</v>
      </c>
      <c r="H97" s="336">
        <f t="shared" si="6"/>
        <v>185540863.69576651</v>
      </c>
      <c r="I97" s="336"/>
      <c r="J97" s="336">
        <f t="shared" si="7"/>
        <v>185540863.69576651</v>
      </c>
    </row>
    <row r="98" spans="1:10">
      <c r="A98" s="303">
        <v>67</v>
      </c>
      <c r="B98" s="309" t="s">
        <v>396</v>
      </c>
      <c r="C98" s="352" t="s">
        <v>325</v>
      </c>
      <c r="D98" s="355">
        <v>5.2750000000000004</v>
      </c>
      <c r="E98" s="342"/>
      <c r="F98" s="342">
        <f t="shared" si="5"/>
        <v>5.2750000000000004</v>
      </c>
      <c r="G98" s="336">
        <v>2389507.7110639899</v>
      </c>
      <c r="H98" s="336">
        <f t="shared" si="6"/>
        <v>12604653.175862547</v>
      </c>
      <c r="I98" s="336"/>
      <c r="J98" s="336">
        <f t="shared" si="7"/>
        <v>12604653.175862547</v>
      </c>
    </row>
    <row r="99" spans="1:10">
      <c r="A99" s="303"/>
      <c r="B99" s="308" t="s">
        <v>526</v>
      </c>
      <c r="C99" s="352"/>
      <c r="D99" s="355">
        <v>0</v>
      </c>
      <c r="E99" s="342"/>
      <c r="F99" s="342">
        <f t="shared" si="5"/>
        <v>0</v>
      </c>
      <c r="G99" s="336"/>
      <c r="H99" s="336">
        <f t="shared" si="6"/>
        <v>0</v>
      </c>
      <c r="I99" s="336"/>
      <c r="J99" s="336">
        <f t="shared" si="7"/>
        <v>0</v>
      </c>
    </row>
    <row r="100" spans="1:10" ht="33">
      <c r="A100" s="305">
        <v>68</v>
      </c>
      <c r="B100" s="309" t="s">
        <v>527</v>
      </c>
      <c r="C100" s="352" t="s">
        <v>324</v>
      </c>
      <c r="D100" s="355">
        <v>1.41</v>
      </c>
      <c r="E100" s="342"/>
      <c r="F100" s="342">
        <f t="shared" si="5"/>
        <v>1.41</v>
      </c>
      <c r="G100" s="336">
        <v>99682971.680002213</v>
      </c>
      <c r="H100" s="336">
        <f t="shared" si="6"/>
        <v>140552990.0688031</v>
      </c>
      <c r="I100" s="336"/>
      <c r="J100" s="336">
        <f t="shared" si="7"/>
        <v>140552990.0688031</v>
      </c>
    </row>
    <row r="101" spans="1:10" ht="33">
      <c r="A101" s="305">
        <v>69</v>
      </c>
      <c r="B101" s="309" t="s">
        <v>528</v>
      </c>
      <c r="C101" s="352" t="s">
        <v>324</v>
      </c>
      <c r="D101" s="355">
        <v>0.51</v>
      </c>
      <c r="E101" s="342"/>
      <c r="F101" s="342">
        <f t="shared" si="5"/>
        <v>0.51</v>
      </c>
      <c r="G101" s="336">
        <v>99217726.040167078</v>
      </c>
      <c r="H101" s="336">
        <f t="shared" si="6"/>
        <v>50601040.280485213</v>
      </c>
      <c r="I101" s="336"/>
      <c r="J101" s="336">
        <f t="shared" si="7"/>
        <v>50601040.280485213</v>
      </c>
    </row>
    <row r="102" spans="1:10" ht="34.5">
      <c r="A102" s="314"/>
      <c r="B102" s="312" t="s">
        <v>529</v>
      </c>
      <c r="C102" s="352"/>
      <c r="D102" s="340"/>
      <c r="E102" s="342"/>
      <c r="F102" s="342">
        <f t="shared" si="5"/>
        <v>0</v>
      </c>
      <c r="G102" s="336"/>
      <c r="H102" s="336">
        <f t="shared" si="6"/>
        <v>0</v>
      </c>
      <c r="I102" s="336"/>
      <c r="J102" s="336">
        <f t="shared" si="7"/>
        <v>0</v>
      </c>
    </row>
    <row r="103" spans="1:10">
      <c r="A103" s="314"/>
      <c r="B103" s="308" t="s">
        <v>530</v>
      </c>
      <c r="C103" s="352"/>
      <c r="D103" s="340"/>
      <c r="E103" s="342"/>
      <c r="F103" s="342">
        <f t="shared" si="5"/>
        <v>0</v>
      </c>
      <c r="G103" s="336"/>
      <c r="H103" s="336">
        <f t="shared" si="6"/>
        <v>0</v>
      </c>
      <c r="I103" s="336"/>
      <c r="J103" s="336">
        <f t="shared" si="7"/>
        <v>0</v>
      </c>
    </row>
    <row r="104" spans="1:10">
      <c r="A104" s="305">
        <v>70</v>
      </c>
      <c r="B104" s="309" t="s">
        <v>368</v>
      </c>
      <c r="C104" s="352" t="s">
        <v>323</v>
      </c>
      <c r="D104" s="355">
        <v>6.49</v>
      </c>
      <c r="E104" s="342"/>
      <c r="F104" s="342">
        <f t="shared" si="5"/>
        <v>6.49</v>
      </c>
      <c r="G104" s="336">
        <v>2051880.3465472069</v>
      </c>
      <c r="H104" s="336">
        <f t="shared" si="6"/>
        <v>13316703.449091373</v>
      </c>
      <c r="I104" s="336"/>
      <c r="J104" s="336">
        <f t="shared" si="7"/>
        <v>13316703.449091373</v>
      </c>
    </row>
    <row r="105" spans="1:10">
      <c r="A105" s="305">
        <v>71</v>
      </c>
      <c r="B105" s="309" t="s">
        <v>369</v>
      </c>
      <c r="C105" s="352" t="s">
        <v>504</v>
      </c>
      <c r="D105" s="355">
        <v>0.16600000000000001</v>
      </c>
      <c r="E105" s="342"/>
      <c r="F105" s="342">
        <f t="shared" si="5"/>
        <v>0.16600000000000001</v>
      </c>
      <c r="G105" s="336">
        <v>23642582.73910309</v>
      </c>
      <c r="H105" s="336">
        <f t="shared" si="6"/>
        <v>3924668.7346911132</v>
      </c>
      <c r="I105" s="336"/>
      <c r="J105" s="336">
        <f t="shared" si="7"/>
        <v>3924668.7346911132</v>
      </c>
    </row>
    <row r="106" spans="1:10">
      <c r="A106" s="305">
        <v>72</v>
      </c>
      <c r="B106" s="307" t="s">
        <v>370</v>
      </c>
      <c r="C106" s="352" t="s">
        <v>504</v>
      </c>
      <c r="D106" s="355">
        <v>0.73</v>
      </c>
      <c r="E106" s="342"/>
      <c r="F106" s="342">
        <f t="shared" si="5"/>
        <v>0.73</v>
      </c>
      <c r="G106" s="336">
        <v>22847031.418649137</v>
      </c>
      <c r="H106" s="336">
        <f t="shared" si="6"/>
        <v>16678332.935613869</v>
      </c>
      <c r="I106" s="336"/>
      <c r="J106" s="336">
        <f t="shared" si="7"/>
        <v>16678332.935613869</v>
      </c>
    </row>
    <row r="107" spans="1:10">
      <c r="A107" s="305">
        <v>73</v>
      </c>
      <c r="B107" s="309" t="s">
        <v>371</v>
      </c>
      <c r="C107" s="352" t="s">
        <v>319</v>
      </c>
      <c r="D107" s="355">
        <v>0.307</v>
      </c>
      <c r="E107" s="342"/>
      <c r="F107" s="342">
        <f t="shared" si="5"/>
        <v>0.307</v>
      </c>
      <c r="G107" s="336">
        <v>7047065.69649731</v>
      </c>
      <c r="H107" s="336">
        <f t="shared" si="6"/>
        <v>2163449.1688246741</v>
      </c>
      <c r="I107" s="336"/>
      <c r="J107" s="336">
        <f t="shared" si="7"/>
        <v>2163449.1688246741</v>
      </c>
    </row>
    <row r="108" spans="1:10">
      <c r="A108" s="305">
        <v>74</v>
      </c>
      <c r="B108" s="309" t="s">
        <v>372</v>
      </c>
      <c r="C108" s="352" t="s">
        <v>504</v>
      </c>
      <c r="D108" s="355">
        <v>3.0000000000000001E-3</v>
      </c>
      <c r="E108" s="342"/>
      <c r="F108" s="342">
        <f t="shared" si="5"/>
        <v>3.0000000000000001E-3</v>
      </c>
      <c r="G108" s="336">
        <v>30419744.91335446</v>
      </c>
      <c r="H108" s="336">
        <f t="shared" si="6"/>
        <v>91259.234740063388</v>
      </c>
      <c r="I108" s="336"/>
      <c r="J108" s="336">
        <f t="shared" si="7"/>
        <v>91259.234740063388</v>
      </c>
    </row>
    <row r="109" spans="1:10">
      <c r="A109" s="305">
        <v>75</v>
      </c>
      <c r="B109" s="309" t="s">
        <v>531</v>
      </c>
      <c r="C109" s="352" t="s">
        <v>504</v>
      </c>
      <c r="D109" s="355">
        <v>3.0000000000000001E-3</v>
      </c>
      <c r="E109" s="342"/>
      <c r="F109" s="342">
        <f t="shared" si="5"/>
        <v>3.0000000000000001E-3</v>
      </c>
      <c r="G109" s="336">
        <v>4878166.8901956873</v>
      </c>
      <c r="H109" s="336">
        <f t="shared" si="6"/>
        <v>14634.500670587062</v>
      </c>
      <c r="I109" s="336"/>
      <c r="J109" s="336">
        <f t="shared" si="7"/>
        <v>14634.500670587062</v>
      </c>
    </row>
    <row r="110" spans="1:10">
      <c r="A110" s="314"/>
      <c r="B110" s="312" t="s">
        <v>532</v>
      </c>
      <c r="C110" s="370"/>
      <c r="D110" s="355">
        <v>0</v>
      </c>
      <c r="E110" s="342"/>
      <c r="F110" s="342">
        <f t="shared" si="5"/>
        <v>0</v>
      </c>
      <c r="G110" s="336">
        <v>0</v>
      </c>
      <c r="H110" s="336">
        <f t="shared" si="6"/>
        <v>0</v>
      </c>
      <c r="I110" s="336"/>
      <c r="J110" s="336">
        <f t="shared" si="7"/>
        <v>0</v>
      </c>
    </row>
    <row r="111" spans="1:10" ht="33">
      <c r="A111" s="303">
        <v>76</v>
      </c>
      <c r="B111" s="307" t="s">
        <v>374</v>
      </c>
      <c r="C111" s="372" t="s">
        <v>533</v>
      </c>
      <c r="D111" s="355">
        <v>9</v>
      </c>
      <c r="E111" s="342"/>
      <c r="F111" s="342">
        <f t="shared" si="5"/>
        <v>9</v>
      </c>
      <c r="G111" s="336">
        <v>80262.212258316024</v>
      </c>
      <c r="H111" s="336">
        <f t="shared" si="6"/>
        <v>722359.91032484418</v>
      </c>
      <c r="I111" s="336"/>
      <c r="J111" s="336">
        <f t="shared" si="7"/>
        <v>722359.91032484418</v>
      </c>
    </row>
    <row r="112" spans="1:10" ht="33">
      <c r="A112" s="303">
        <v>77</v>
      </c>
      <c r="B112" s="309" t="s">
        <v>534</v>
      </c>
      <c r="C112" s="352" t="s">
        <v>324</v>
      </c>
      <c r="D112" s="355">
        <v>1.0529999999999999</v>
      </c>
      <c r="E112" s="342"/>
      <c r="F112" s="342">
        <f t="shared" si="5"/>
        <v>1.0529999999999999</v>
      </c>
      <c r="G112" s="336">
        <v>23233178.124883048</v>
      </c>
      <c r="H112" s="336">
        <f t="shared" si="6"/>
        <v>24464536.56550185</v>
      </c>
      <c r="I112" s="336"/>
      <c r="J112" s="336">
        <f t="shared" si="7"/>
        <v>24464536.56550185</v>
      </c>
    </row>
    <row r="113" spans="1:10" ht="33">
      <c r="A113" s="303">
        <v>78</v>
      </c>
      <c r="B113" s="309" t="s">
        <v>535</v>
      </c>
      <c r="C113" s="352" t="s">
        <v>324</v>
      </c>
      <c r="D113" s="355">
        <v>8.2000000000000003E-2</v>
      </c>
      <c r="E113" s="342"/>
      <c r="F113" s="342">
        <f t="shared" si="5"/>
        <v>8.2000000000000003E-2</v>
      </c>
      <c r="G113" s="336">
        <v>24394837.12237905</v>
      </c>
      <c r="H113" s="336">
        <f t="shared" si="6"/>
        <v>2000376.6440350821</v>
      </c>
      <c r="I113" s="336"/>
      <c r="J113" s="336">
        <f t="shared" si="7"/>
        <v>2000376.6440350821</v>
      </c>
    </row>
    <row r="114" spans="1:10">
      <c r="A114" s="303">
        <v>79</v>
      </c>
      <c r="B114" s="307" t="s">
        <v>375</v>
      </c>
      <c r="C114" s="352" t="s">
        <v>324</v>
      </c>
      <c r="D114" s="355">
        <v>8.2000000000000003E-2</v>
      </c>
      <c r="E114" s="342"/>
      <c r="F114" s="342">
        <f t="shared" si="5"/>
        <v>8.2000000000000003E-2</v>
      </c>
      <c r="G114" s="336">
        <v>10347238.214029023</v>
      </c>
      <c r="H114" s="336">
        <f t="shared" si="6"/>
        <v>848473.53355037991</v>
      </c>
      <c r="I114" s="336"/>
      <c r="J114" s="336">
        <f t="shared" si="7"/>
        <v>848473.53355037991</v>
      </c>
    </row>
    <row r="115" spans="1:10">
      <c r="A115" s="303">
        <v>80</v>
      </c>
      <c r="B115" s="307" t="s">
        <v>376</v>
      </c>
      <c r="C115" s="352" t="s">
        <v>504</v>
      </c>
      <c r="D115" s="355">
        <v>0.96299999999999997</v>
      </c>
      <c r="E115" s="342"/>
      <c r="F115" s="342">
        <f t="shared" si="5"/>
        <v>0.96299999999999997</v>
      </c>
      <c r="G115" s="336">
        <v>4852428.5134319821</v>
      </c>
      <c r="H115" s="336">
        <f t="shared" si="6"/>
        <v>4672888.6584349982</v>
      </c>
      <c r="I115" s="336"/>
      <c r="J115" s="336">
        <f t="shared" si="7"/>
        <v>4672888.6584349982</v>
      </c>
    </row>
    <row r="116" spans="1:10">
      <c r="A116" s="303">
        <v>81</v>
      </c>
      <c r="B116" s="307" t="s">
        <v>377</v>
      </c>
      <c r="C116" s="352" t="s">
        <v>504</v>
      </c>
      <c r="D116" s="355">
        <v>0.15</v>
      </c>
      <c r="E116" s="342"/>
      <c r="F116" s="342">
        <f t="shared" si="5"/>
        <v>0.15</v>
      </c>
      <c r="G116" s="336">
        <v>20173128.903969545</v>
      </c>
      <c r="H116" s="336">
        <f t="shared" si="6"/>
        <v>3025969.3355954317</v>
      </c>
      <c r="I116" s="336"/>
      <c r="J116" s="336">
        <f t="shared" si="7"/>
        <v>3025969.3355954317</v>
      </c>
    </row>
    <row r="117" spans="1:10">
      <c r="A117" s="303">
        <v>82</v>
      </c>
      <c r="B117" s="307" t="s">
        <v>272</v>
      </c>
      <c r="C117" s="352" t="s">
        <v>504</v>
      </c>
      <c r="D117" s="355">
        <v>0.81299999999999994</v>
      </c>
      <c r="E117" s="342"/>
      <c r="F117" s="342">
        <f t="shared" si="5"/>
        <v>0.81299999999999994</v>
      </c>
      <c r="G117" s="336">
        <v>17575289.921161499</v>
      </c>
      <c r="H117" s="336">
        <f t="shared" si="6"/>
        <v>14288710.705904298</v>
      </c>
      <c r="I117" s="336"/>
      <c r="J117" s="336">
        <f t="shared" si="7"/>
        <v>14288710.705904298</v>
      </c>
    </row>
    <row r="118" spans="1:10">
      <c r="A118" s="303">
        <v>83</v>
      </c>
      <c r="B118" s="307" t="s">
        <v>378</v>
      </c>
      <c r="C118" s="352" t="s">
        <v>323</v>
      </c>
      <c r="D118" s="355">
        <v>0.11</v>
      </c>
      <c r="E118" s="342"/>
      <c r="F118" s="342">
        <f t="shared" si="5"/>
        <v>0.11</v>
      </c>
      <c r="G118" s="336">
        <v>1754760.0458052719</v>
      </c>
      <c r="H118" s="336">
        <f t="shared" si="6"/>
        <v>193023.6050385799</v>
      </c>
      <c r="I118" s="336"/>
      <c r="J118" s="336">
        <f t="shared" si="7"/>
        <v>193023.6050385799</v>
      </c>
    </row>
    <row r="119" spans="1:10">
      <c r="A119" s="314"/>
      <c r="B119" s="312" t="s">
        <v>379</v>
      </c>
      <c r="C119" s="352"/>
      <c r="D119" s="340"/>
      <c r="E119" s="342"/>
      <c r="F119" s="342">
        <f t="shared" si="5"/>
        <v>0</v>
      </c>
      <c r="G119" s="336"/>
      <c r="H119" s="336">
        <f t="shared" si="6"/>
        <v>0</v>
      </c>
      <c r="I119" s="336"/>
      <c r="J119" s="336">
        <f t="shared" si="7"/>
        <v>0</v>
      </c>
    </row>
    <row r="120" spans="1:10" ht="33">
      <c r="A120" s="305">
        <v>84</v>
      </c>
      <c r="B120" s="309" t="s">
        <v>536</v>
      </c>
      <c r="C120" s="352" t="s">
        <v>324</v>
      </c>
      <c r="D120" s="375">
        <v>0.56000000000000005</v>
      </c>
      <c r="E120" s="342"/>
      <c r="F120" s="342">
        <f t="shared" si="5"/>
        <v>0.56000000000000005</v>
      </c>
      <c r="G120" s="336">
        <v>25694940.15035215</v>
      </c>
      <c r="H120" s="336">
        <f t="shared" si="6"/>
        <v>14389166.484197205</v>
      </c>
      <c r="I120" s="336"/>
      <c r="J120" s="336">
        <f t="shared" si="7"/>
        <v>14389166.484197205</v>
      </c>
    </row>
    <row r="121" spans="1:10" ht="33">
      <c r="A121" s="305">
        <v>85</v>
      </c>
      <c r="B121" s="309" t="s">
        <v>537</v>
      </c>
      <c r="C121" s="352" t="s">
        <v>324</v>
      </c>
      <c r="D121" s="375">
        <v>0.4</v>
      </c>
      <c r="E121" s="342"/>
      <c r="F121" s="342">
        <f t="shared" si="5"/>
        <v>0.4</v>
      </c>
      <c r="G121" s="336">
        <v>19271205.295267828</v>
      </c>
      <c r="H121" s="336">
        <f t="shared" si="6"/>
        <v>7708482.1181071317</v>
      </c>
      <c r="I121" s="336"/>
      <c r="J121" s="336">
        <f t="shared" si="7"/>
        <v>7708482.1181071317</v>
      </c>
    </row>
    <row r="122" spans="1:10" ht="33">
      <c r="A122" s="305">
        <v>86</v>
      </c>
      <c r="B122" s="307" t="s">
        <v>538</v>
      </c>
      <c r="C122" s="352" t="s">
        <v>504</v>
      </c>
      <c r="D122" s="375">
        <v>1.752</v>
      </c>
      <c r="E122" s="342"/>
      <c r="F122" s="342">
        <f t="shared" si="5"/>
        <v>1.752</v>
      </c>
      <c r="G122" s="336">
        <v>942085.11981537775</v>
      </c>
      <c r="H122" s="336">
        <f t="shared" si="6"/>
        <v>1650533.1299165417</v>
      </c>
      <c r="I122" s="336"/>
      <c r="J122" s="336">
        <f t="shared" si="7"/>
        <v>1650533.1299165417</v>
      </c>
    </row>
    <row r="123" spans="1:10">
      <c r="A123" s="305">
        <v>87</v>
      </c>
      <c r="B123" s="307" t="s">
        <v>380</v>
      </c>
      <c r="C123" s="352" t="s">
        <v>504</v>
      </c>
      <c r="D123" s="375">
        <v>0.86799999999999999</v>
      </c>
      <c r="E123" s="342"/>
      <c r="F123" s="342">
        <f t="shared" si="5"/>
        <v>0.86799999999999999</v>
      </c>
      <c r="G123" s="336">
        <v>9410025.444333382</v>
      </c>
      <c r="H123" s="336">
        <f t="shared" si="6"/>
        <v>8167902.0856813751</v>
      </c>
      <c r="I123" s="336"/>
      <c r="J123" s="336">
        <f t="shared" si="7"/>
        <v>8167902.0856813751</v>
      </c>
    </row>
    <row r="124" spans="1:10">
      <c r="A124" s="303"/>
      <c r="B124" s="312" t="s">
        <v>539</v>
      </c>
      <c r="C124" s="352"/>
      <c r="D124" s="375"/>
      <c r="E124" s="342"/>
      <c r="F124" s="342">
        <f t="shared" si="5"/>
        <v>0</v>
      </c>
      <c r="G124" s="336"/>
      <c r="H124" s="336">
        <f t="shared" si="6"/>
        <v>0</v>
      </c>
      <c r="I124" s="336"/>
      <c r="J124" s="336">
        <f t="shared" si="7"/>
        <v>0</v>
      </c>
    </row>
    <row r="125" spans="1:10" ht="33">
      <c r="A125" s="303">
        <v>88</v>
      </c>
      <c r="B125" s="307" t="s">
        <v>540</v>
      </c>
      <c r="C125" s="352" t="s">
        <v>504</v>
      </c>
      <c r="D125" s="375">
        <v>0.442</v>
      </c>
      <c r="E125" s="342"/>
      <c r="F125" s="342">
        <f t="shared" si="5"/>
        <v>0.442</v>
      </c>
      <c r="G125" s="336">
        <v>4639819.6479129959</v>
      </c>
      <c r="H125" s="336">
        <f t="shared" si="6"/>
        <v>2050800.2843775442</v>
      </c>
      <c r="I125" s="336"/>
      <c r="J125" s="336">
        <f t="shared" si="7"/>
        <v>2050800.2843775442</v>
      </c>
    </row>
    <row r="126" spans="1:10" ht="33">
      <c r="A126" s="303">
        <v>89</v>
      </c>
      <c r="B126" s="307" t="s">
        <v>541</v>
      </c>
      <c r="C126" s="352" t="s">
        <v>504</v>
      </c>
      <c r="D126" s="375">
        <v>0.184</v>
      </c>
      <c r="E126" s="342"/>
      <c r="F126" s="342">
        <f t="shared" si="5"/>
        <v>0.184</v>
      </c>
      <c r="G126" s="336">
        <v>3227700.6246351269</v>
      </c>
      <c r="H126" s="336">
        <f t="shared" si="6"/>
        <v>593896.91493286332</v>
      </c>
      <c r="I126" s="336"/>
      <c r="J126" s="336">
        <f t="shared" si="7"/>
        <v>593896.91493286332</v>
      </c>
    </row>
    <row r="127" spans="1:10" ht="33">
      <c r="A127" s="303">
        <v>90</v>
      </c>
      <c r="B127" s="307" t="s">
        <v>542</v>
      </c>
      <c r="C127" s="352" t="s">
        <v>504</v>
      </c>
      <c r="D127" s="375">
        <v>0.19900000000000001</v>
      </c>
      <c r="E127" s="342"/>
      <c r="F127" s="342">
        <f t="shared" si="5"/>
        <v>0.19900000000000001</v>
      </c>
      <c r="G127" s="336">
        <v>6051938.6711908635</v>
      </c>
      <c r="H127" s="336">
        <f t="shared" si="6"/>
        <v>1204335.7955669819</v>
      </c>
      <c r="I127" s="336"/>
      <c r="J127" s="336">
        <f t="shared" si="7"/>
        <v>1204335.7955669819</v>
      </c>
    </row>
    <row r="128" spans="1:10" ht="33">
      <c r="A128" s="303">
        <v>91</v>
      </c>
      <c r="B128" s="307" t="s">
        <v>543</v>
      </c>
      <c r="C128" s="352" t="s">
        <v>504</v>
      </c>
      <c r="D128" s="375">
        <v>3.6999999999999998E-2</v>
      </c>
      <c r="E128" s="342"/>
      <c r="F128" s="342">
        <f t="shared" si="5"/>
        <v>3.6999999999999998E-2</v>
      </c>
      <c r="G128" s="336">
        <v>13112533.787580205</v>
      </c>
      <c r="H128" s="336">
        <f t="shared" si="6"/>
        <v>485163.75014046754</v>
      </c>
      <c r="I128" s="336"/>
      <c r="J128" s="336">
        <f t="shared" si="7"/>
        <v>485163.75014046754</v>
      </c>
    </row>
    <row r="129" spans="1:10" ht="33">
      <c r="A129" s="303">
        <v>92</v>
      </c>
      <c r="B129" s="307" t="s">
        <v>544</v>
      </c>
      <c r="C129" s="352" t="s">
        <v>504</v>
      </c>
      <c r="D129" s="375">
        <v>6.0000000000000001E-3</v>
      </c>
      <c r="E129" s="342"/>
      <c r="F129" s="342">
        <f t="shared" si="5"/>
        <v>6.0000000000000001E-3</v>
      </c>
      <c r="G129" s="336">
        <v>13112533.787580205</v>
      </c>
      <c r="H129" s="336">
        <f t="shared" si="6"/>
        <v>78675.202725481227</v>
      </c>
      <c r="I129" s="336"/>
      <c r="J129" s="336">
        <f t="shared" si="7"/>
        <v>78675.202725481227</v>
      </c>
    </row>
    <row r="130" spans="1:10">
      <c r="A130" s="303">
        <v>93</v>
      </c>
      <c r="B130" s="307" t="s">
        <v>364</v>
      </c>
      <c r="C130" s="352" t="s">
        <v>504</v>
      </c>
      <c r="D130" s="375">
        <v>2.8769999999999998</v>
      </c>
      <c r="E130" s="342"/>
      <c r="F130" s="342">
        <f t="shared" si="5"/>
        <v>2.8769999999999998</v>
      </c>
      <c r="G130" s="336">
        <v>6080313.1193965599</v>
      </c>
      <c r="H130" s="336">
        <f t="shared" si="6"/>
        <v>17493060.844503902</v>
      </c>
      <c r="I130" s="336"/>
      <c r="J130" s="336">
        <f t="shared" si="7"/>
        <v>17493060.844503902</v>
      </c>
    </row>
    <row r="131" spans="1:10">
      <c r="A131" s="303">
        <v>94</v>
      </c>
      <c r="B131" s="307" t="s">
        <v>365</v>
      </c>
      <c r="C131" s="352" t="s">
        <v>504</v>
      </c>
      <c r="D131" s="375">
        <v>2.8769999999999998</v>
      </c>
      <c r="E131" s="342"/>
      <c r="F131" s="342">
        <f t="shared" si="5"/>
        <v>2.8769999999999998</v>
      </c>
      <c r="G131" s="336">
        <v>3640153.3282428598</v>
      </c>
      <c r="H131" s="336">
        <f t="shared" si="6"/>
        <v>10472721.125354707</v>
      </c>
      <c r="I131" s="336"/>
      <c r="J131" s="336">
        <f t="shared" si="7"/>
        <v>10472721.125354707</v>
      </c>
    </row>
    <row r="132" spans="1:10">
      <c r="A132" s="303">
        <v>95</v>
      </c>
      <c r="B132" s="307" t="s">
        <v>366</v>
      </c>
      <c r="C132" s="352" t="s">
        <v>324</v>
      </c>
      <c r="D132" s="375">
        <v>0.56000000000000005</v>
      </c>
      <c r="E132" s="342"/>
      <c r="F132" s="342">
        <f t="shared" si="5"/>
        <v>0.56000000000000005</v>
      </c>
      <c r="G132" s="336">
        <v>10347238.214029023</v>
      </c>
      <c r="H132" s="336">
        <f t="shared" si="6"/>
        <v>5794453.3998562535</v>
      </c>
      <c r="I132" s="336"/>
      <c r="J132" s="336">
        <f t="shared" si="7"/>
        <v>5794453.3998562535</v>
      </c>
    </row>
    <row r="133" spans="1:10">
      <c r="A133" s="303"/>
      <c r="B133" s="308" t="s">
        <v>545</v>
      </c>
      <c r="C133" s="352"/>
      <c r="D133" s="340"/>
      <c r="E133" s="342"/>
      <c r="F133" s="342">
        <f t="shared" si="5"/>
        <v>0</v>
      </c>
      <c r="G133" s="336"/>
      <c r="H133" s="336">
        <f t="shared" si="6"/>
        <v>0</v>
      </c>
      <c r="I133" s="336"/>
      <c r="J133" s="336">
        <f t="shared" si="7"/>
        <v>0</v>
      </c>
    </row>
    <row r="134" spans="1:10">
      <c r="A134" s="311"/>
      <c r="B134" s="312" t="s">
        <v>546</v>
      </c>
      <c r="C134" s="352"/>
      <c r="D134" s="340"/>
      <c r="E134" s="342"/>
      <c r="F134" s="342">
        <f t="shared" si="5"/>
        <v>0</v>
      </c>
      <c r="G134" s="336"/>
      <c r="H134" s="336">
        <f t="shared" si="6"/>
        <v>0</v>
      </c>
      <c r="I134" s="336"/>
      <c r="J134" s="336">
        <f t="shared" si="7"/>
        <v>0</v>
      </c>
    </row>
    <row r="135" spans="1:10" ht="33">
      <c r="A135" s="305">
        <v>96</v>
      </c>
      <c r="B135" s="309" t="s">
        <v>387</v>
      </c>
      <c r="C135" s="352" t="s">
        <v>323</v>
      </c>
      <c r="D135" s="376">
        <v>65.91</v>
      </c>
      <c r="E135" s="342"/>
      <c r="F135" s="342">
        <f t="shared" si="5"/>
        <v>65.91</v>
      </c>
      <c r="G135" s="336">
        <v>2027464.7566844549</v>
      </c>
      <c r="H135" s="336">
        <f t="shared" si="6"/>
        <v>133630202.11307241</v>
      </c>
      <c r="I135" s="336"/>
      <c r="J135" s="336">
        <f t="shared" si="7"/>
        <v>133630202.11307241</v>
      </c>
    </row>
    <row r="136" spans="1:10" ht="33">
      <c r="A136" s="305">
        <v>97</v>
      </c>
      <c r="B136" s="309" t="s">
        <v>393</v>
      </c>
      <c r="C136" s="352" t="s">
        <v>323</v>
      </c>
      <c r="D136" s="376">
        <v>99.9</v>
      </c>
      <c r="E136" s="342"/>
      <c r="F136" s="342">
        <f t="shared" si="5"/>
        <v>99.9</v>
      </c>
      <c r="G136" s="336">
        <v>2608057.7646897146</v>
      </c>
      <c r="H136" s="336">
        <f t="shared" si="6"/>
        <v>260544970.6925025</v>
      </c>
      <c r="I136" s="336"/>
      <c r="J136" s="336">
        <f t="shared" si="7"/>
        <v>260544970.6925025</v>
      </c>
    </row>
    <row r="137" spans="1:10" ht="33">
      <c r="A137" s="305">
        <v>98</v>
      </c>
      <c r="B137" s="309" t="s">
        <v>403</v>
      </c>
      <c r="C137" s="352" t="s">
        <v>323</v>
      </c>
      <c r="D137" s="376">
        <v>9.64</v>
      </c>
      <c r="E137" s="342"/>
      <c r="F137" s="342">
        <f t="shared" si="5"/>
        <v>9.64</v>
      </c>
      <c r="G137" s="336">
        <v>2426266.6352811917</v>
      </c>
      <c r="H137" s="336">
        <f t="shared" si="6"/>
        <v>23389210.36411069</v>
      </c>
      <c r="I137" s="336"/>
      <c r="J137" s="336">
        <f t="shared" si="7"/>
        <v>23389210.36411069</v>
      </c>
    </row>
    <row r="138" spans="1:10" ht="33">
      <c r="A138" s="305">
        <v>99</v>
      </c>
      <c r="B138" s="309" t="s">
        <v>404</v>
      </c>
      <c r="C138" s="352" t="s">
        <v>323</v>
      </c>
      <c r="D138" s="376">
        <v>1.95</v>
      </c>
      <c r="E138" s="342"/>
      <c r="F138" s="342">
        <f t="shared" si="5"/>
        <v>1.95</v>
      </c>
      <c r="G138" s="336">
        <v>2913712.1823196714</v>
      </c>
      <c r="H138" s="336">
        <f t="shared" si="6"/>
        <v>5681738.7555233594</v>
      </c>
      <c r="I138" s="336"/>
      <c r="J138" s="336">
        <f t="shared" si="7"/>
        <v>5681738.7555233594</v>
      </c>
    </row>
    <row r="139" spans="1:10" ht="33">
      <c r="A139" s="305">
        <v>100</v>
      </c>
      <c r="B139" s="309" t="s">
        <v>547</v>
      </c>
      <c r="C139" s="352" t="s">
        <v>323</v>
      </c>
      <c r="D139" s="376">
        <v>1.1000000000000001</v>
      </c>
      <c r="E139" s="342"/>
      <c r="F139" s="342">
        <f t="shared" si="5"/>
        <v>1.1000000000000001</v>
      </c>
      <c r="G139" s="336">
        <v>2608057.7646897146</v>
      </c>
      <c r="H139" s="336">
        <f t="shared" si="6"/>
        <v>2868863.5411586864</v>
      </c>
      <c r="I139" s="336"/>
      <c r="J139" s="336">
        <f t="shared" si="7"/>
        <v>2868863.5411586864</v>
      </c>
    </row>
    <row r="140" spans="1:10" ht="33">
      <c r="A140" s="305">
        <v>101</v>
      </c>
      <c r="B140" s="309" t="s">
        <v>548</v>
      </c>
      <c r="C140" s="352" t="s">
        <v>323</v>
      </c>
      <c r="D140" s="376">
        <v>2.29</v>
      </c>
      <c r="E140" s="342"/>
      <c r="F140" s="342">
        <f t="shared" si="5"/>
        <v>2.29</v>
      </c>
      <c r="G140" s="336">
        <v>2426266.6352811917</v>
      </c>
      <c r="H140" s="336">
        <f t="shared" si="6"/>
        <v>5556150.5947939288</v>
      </c>
      <c r="I140" s="336"/>
      <c r="J140" s="336">
        <f t="shared" si="7"/>
        <v>5556150.5947939288</v>
      </c>
    </row>
    <row r="141" spans="1:10">
      <c r="A141" s="305">
        <v>102</v>
      </c>
      <c r="B141" s="309" t="s">
        <v>388</v>
      </c>
      <c r="C141" s="352" t="s">
        <v>326</v>
      </c>
      <c r="D141" s="376">
        <v>185.31</v>
      </c>
      <c r="E141" s="342"/>
      <c r="F141" s="342">
        <f t="shared" si="5"/>
        <v>185.31</v>
      </c>
      <c r="G141" s="336">
        <v>30806.869839482002</v>
      </c>
      <c r="H141" s="336">
        <f t="shared" si="6"/>
        <v>5708821.0499544097</v>
      </c>
      <c r="I141" s="336"/>
      <c r="J141" s="336">
        <f t="shared" si="7"/>
        <v>5708821.0499544097</v>
      </c>
    </row>
    <row r="142" spans="1:10">
      <c r="A142" s="305">
        <v>103</v>
      </c>
      <c r="B142" s="307" t="s">
        <v>389</v>
      </c>
      <c r="C142" s="352" t="s">
        <v>328</v>
      </c>
      <c r="D142" s="376">
        <v>5.87</v>
      </c>
      <c r="E142" s="342"/>
      <c r="F142" s="342">
        <f t="shared" si="5"/>
        <v>5.87</v>
      </c>
      <c r="G142" s="336">
        <v>1453528.4231198058</v>
      </c>
      <c r="H142" s="336">
        <f t="shared" si="6"/>
        <v>8532211.8437132593</v>
      </c>
      <c r="I142" s="336"/>
      <c r="J142" s="336">
        <f t="shared" si="7"/>
        <v>8532211.8437132593</v>
      </c>
    </row>
    <row r="143" spans="1:10">
      <c r="A143" s="305">
        <v>104</v>
      </c>
      <c r="B143" s="309" t="s">
        <v>352</v>
      </c>
      <c r="C143" s="352" t="s">
        <v>324</v>
      </c>
      <c r="D143" s="376">
        <v>126.99</v>
      </c>
      <c r="E143" s="342"/>
      <c r="F143" s="342">
        <f t="shared" si="5"/>
        <v>126.99</v>
      </c>
      <c r="G143" s="336">
        <v>1528207.3601667725</v>
      </c>
      <c r="H143" s="336">
        <f t="shared" si="6"/>
        <v>194067052.66757843</v>
      </c>
      <c r="I143" s="336"/>
      <c r="J143" s="336">
        <f t="shared" si="7"/>
        <v>194067052.66757843</v>
      </c>
    </row>
    <row r="144" spans="1:10">
      <c r="A144" s="305">
        <v>105</v>
      </c>
      <c r="B144" s="309" t="s">
        <v>390</v>
      </c>
      <c r="C144" s="352" t="s">
        <v>504</v>
      </c>
      <c r="D144" s="376">
        <v>3.073</v>
      </c>
      <c r="E144" s="342"/>
      <c r="F144" s="342">
        <f t="shared" si="5"/>
        <v>3.073</v>
      </c>
      <c r="G144" s="336">
        <v>22959485.217240658</v>
      </c>
      <c r="H144" s="336">
        <f t="shared" si="6"/>
        <v>70554498.072580546</v>
      </c>
      <c r="I144" s="336"/>
      <c r="J144" s="336">
        <f t="shared" si="7"/>
        <v>70554498.072580546</v>
      </c>
    </row>
    <row r="145" spans="1:10">
      <c r="A145" s="305">
        <v>106</v>
      </c>
      <c r="B145" s="309" t="s">
        <v>394</v>
      </c>
      <c r="C145" s="352" t="s">
        <v>504</v>
      </c>
      <c r="D145" s="376">
        <v>8.6199999999999992</v>
      </c>
      <c r="E145" s="342"/>
      <c r="F145" s="342">
        <f t="shared" si="5"/>
        <v>8.6199999999999992</v>
      </c>
      <c r="G145" s="336">
        <v>23872760.678466823</v>
      </c>
      <c r="H145" s="336">
        <f t="shared" si="6"/>
        <v>205783197.04838398</v>
      </c>
      <c r="I145" s="336"/>
      <c r="J145" s="336">
        <f t="shared" si="7"/>
        <v>205783197.04838398</v>
      </c>
    </row>
    <row r="146" spans="1:10">
      <c r="A146" s="305">
        <v>107</v>
      </c>
      <c r="B146" s="309" t="s">
        <v>405</v>
      </c>
      <c r="C146" s="352" t="s">
        <v>504</v>
      </c>
      <c r="D146" s="376">
        <v>0.13800000000000001</v>
      </c>
      <c r="E146" s="342"/>
      <c r="F146" s="342">
        <f t="shared" si="5"/>
        <v>0.13800000000000001</v>
      </c>
      <c r="G146" s="336">
        <v>23731751.132482599</v>
      </c>
      <c r="H146" s="336">
        <f t="shared" si="6"/>
        <v>3274981.6562825991</v>
      </c>
      <c r="I146" s="336"/>
      <c r="J146" s="336">
        <f t="shared" si="7"/>
        <v>3274981.6562825991</v>
      </c>
    </row>
    <row r="147" spans="1:10">
      <c r="A147" s="305">
        <v>108</v>
      </c>
      <c r="B147" s="309" t="s">
        <v>407</v>
      </c>
      <c r="C147" s="352" t="s">
        <v>504</v>
      </c>
      <c r="D147" s="376">
        <v>1.3360000000000001</v>
      </c>
      <c r="E147" s="342"/>
      <c r="F147" s="342">
        <f t="shared" si="5"/>
        <v>1.3360000000000001</v>
      </c>
      <c r="G147" s="336">
        <v>23577316.613480441</v>
      </c>
      <c r="H147" s="336">
        <f t="shared" si="6"/>
        <v>31499294.995609872</v>
      </c>
      <c r="I147" s="336"/>
      <c r="J147" s="336">
        <f t="shared" si="7"/>
        <v>31499294.995609872</v>
      </c>
    </row>
    <row r="148" spans="1:10">
      <c r="A148" s="305">
        <v>109</v>
      </c>
      <c r="B148" s="307" t="s">
        <v>392</v>
      </c>
      <c r="C148" s="352" t="s">
        <v>329</v>
      </c>
      <c r="D148" s="376">
        <v>0.68600000000000005</v>
      </c>
      <c r="E148" s="342"/>
      <c r="F148" s="342">
        <f t="shared" si="5"/>
        <v>0.68600000000000005</v>
      </c>
      <c r="G148" s="336">
        <v>4683274.2184133623</v>
      </c>
      <c r="H148" s="336">
        <f t="shared" si="6"/>
        <v>3212726.1138315666</v>
      </c>
      <c r="I148" s="336"/>
      <c r="J148" s="336">
        <f t="shared" si="7"/>
        <v>3212726.1138315666</v>
      </c>
    </row>
    <row r="149" spans="1:10">
      <c r="A149" s="305">
        <v>110</v>
      </c>
      <c r="B149" s="307" t="s">
        <v>395</v>
      </c>
      <c r="C149" s="352" t="s">
        <v>67</v>
      </c>
      <c r="D149" s="376">
        <v>4.617</v>
      </c>
      <c r="E149" s="342"/>
      <c r="F149" s="342">
        <f t="shared" si="5"/>
        <v>4.617</v>
      </c>
      <c r="G149" s="336">
        <v>10629092.200973125</v>
      </c>
      <c r="H149" s="336">
        <f t="shared" si="6"/>
        <v>49074518.691892922</v>
      </c>
      <c r="I149" s="336"/>
      <c r="J149" s="336">
        <f t="shared" si="7"/>
        <v>49074518.691892922</v>
      </c>
    </row>
    <row r="150" spans="1:10">
      <c r="A150" s="305">
        <v>111</v>
      </c>
      <c r="B150" s="309" t="s">
        <v>406</v>
      </c>
      <c r="C150" s="352" t="s">
        <v>325</v>
      </c>
      <c r="D150" s="376">
        <v>2.5999999999999999E-2</v>
      </c>
      <c r="E150" s="342"/>
      <c r="F150" s="342">
        <f t="shared" si="5"/>
        <v>2.5999999999999999E-2</v>
      </c>
      <c r="G150" s="336">
        <v>8117524.669297385</v>
      </c>
      <c r="H150" s="336">
        <f t="shared" si="6"/>
        <v>211055.64140173199</v>
      </c>
      <c r="I150" s="336"/>
      <c r="J150" s="336">
        <f t="shared" si="7"/>
        <v>211055.64140173199</v>
      </c>
    </row>
    <row r="151" spans="1:10">
      <c r="A151" s="311"/>
      <c r="B151" s="306" t="s">
        <v>549</v>
      </c>
      <c r="C151" s="352"/>
      <c r="D151" s="340"/>
      <c r="E151" s="342"/>
      <c r="F151" s="342">
        <f t="shared" si="5"/>
        <v>0</v>
      </c>
      <c r="G151" s="336"/>
      <c r="H151" s="336">
        <f t="shared" si="6"/>
        <v>0</v>
      </c>
      <c r="I151" s="336"/>
      <c r="J151" s="336">
        <f t="shared" si="7"/>
        <v>0</v>
      </c>
    </row>
    <row r="152" spans="1:10" ht="33">
      <c r="A152" s="305">
        <v>112</v>
      </c>
      <c r="B152" s="309" t="s">
        <v>387</v>
      </c>
      <c r="C152" s="352" t="s">
        <v>323</v>
      </c>
      <c r="D152" s="375">
        <v>14</v>
      </c>
      <c r="E152" s="342"/>
      <c r="F152" s="342">
        <f t="shared" si="5"/>
        <v>14</v>
      </c>
      <c r="G152" s="336">
        <v>2027464.7566844549</v>
      </c>
      <c r="H152" s="336">
        <f t="shared" si="6"/>
        <v>28384506.593582369</v>
      </c>
      <c r="I152" s="336"/>
      <c r="J152" s="336">
        <f t="shared" si="7"/>
        <v>28384506.593582369</v>
      </c>
    </row>
    <row r="153" spans="1:10" ht="33">
      <c r="A153" s="305">
        <v>113</v>
      </c>
      <c r="B153" s="309" t="s">
        <v>550</v>
      </c>
      <c r="C153" s="352" t="s">
        <v>323</v>
      </c>
      <c r="D153" s="375">
        <v>18.78</v>
      </c>
      <c r="E153" s="342"/>
      <c r="F153" s="342">
        <f t="shared" ref="F153:F216" si="8">D153</f>
        <v>18.78</v>
      </c>
      <c r="G153" s="336">
        <v>2608057.7646897146</v>
      </c>
      <c r="H153" s="336">
        <f t="shared" ref="H153:H216" si="9">D153*G153</f>
        <v>48979324.820872843</v>
      </c>
      <c r="I153" s="336"/>
      <c r="J153" s="336">
        <f t="shared" ref="J153:J216" si="10">F153*G153</f>
        <v>48979324.820872843</v>
      </c>
    </row>
    <row r="154" spans="1:10">
      <c r="A154" s="305">
        <v>114</v>
      </c>
      <c r="B154" s="309" t="s">
        <v>388</v>
      </c>
      <c r="C154" s="352" t="s">
        <v>326</v>
      </c>
      <c r="D154" s="375">
        <v>33.6</v>
      </c>
      <c r="E154" s="342"/>
      <c r="F154" s="342">
        <f t="shared" si="8"/>
        <v>33.6</v>
      </c>
      <c r="G154" s="336">
        <v>30806.869839482002</v>
      </c>
      <c r="H154" s="336">
        <f t="shared" si="9"/>
        <v>1035110.8266065953</v>
      </c>
      <c r="I154" s="336"/>
      <c r="J154" s="336">
        <f t="shared" si="10"/>
        <v>1035110.8266065953</v>
      </c>
    </row>
    <row r="155" spans="1:10">
      <c r="A155" s="305">
        <v>115</v>
      </c>
      <c r="B155" s="307" t="s">
        <v>389</v>
      </c>
      <c r="C155" s="352" t="s">
        <v>328</v>
      </c>
      <c r="D155" s="375">
        <v>2.78</v>
      </c>
      <c r="E155" s="342"/>
      <c r="F155" s="342">
        <f t="shared" si="8"/>
        <v>2.78</v>
      </c>
      <c r="G155" s="336">
        <v>1453528.4231198058</v>
      </c>
      <c r="H155" s="336">
        <f t="shared" si="9"/>
        <v>4040809.0162730599</v>
      </c>
      <c r="I155" s="336"/>
      <c r="J155" s="336">
        <f t="shared" si="10"/>
        <v>4040809.0162730599</v>
      </c>
    </row>
    <row r="156" spans="1:10">
      <c r="A156" s="305">
        <v>116</v>
      </c>
      <c r="B156" s="309" t="s">
        <v>352</v>
      </c>
      <c r="C156" s="352" t="s">
        <v>324</v>
      </c>
      <c r="D156" s="375">
        <v>48.87</v>
      </c>
      <c r="E156" s="342"/>
      <c r="F156" s="342">
        <f t="shared" si="8"/>
        <v>48.87</v>
      </c>
      <c r="G156" s="336">
        <v>1528207.3601667725</v>
      </c>
      <c r="H156" s="336">
        <f t="shared" si="9"/>
        <v>74683493.691350162</v>
      </c>
      <c r="I156" s="336"/>
      <c r="J156" s="336">
        <f t="shared" si="10"/>
        <v>74683493.691350162</v>
      </c>
    </row>
    <row r="157" spans="1:10">
      <c r="A157" s="305">
        <v>117</v>
      </c>
      <c r="B157" s="307" t="s">
        <v>551</v>
      </c>
      <c r="C157" s="352" t="s">
        <v>327</v>
      </c>
      <c r="D157" s="375">
        <v>4.4000000000000004</v>
      </c>
      <c r="E157" s="342"/>
      <c r="F157" s="342">
        <f t="shared" si="8"/>
        <v>4.4000000000000004</v>
      </c>
      <c r="G157" s="336">
        <v>637246.01940001198</v>
      </c>
      <c r="H157" s="336">
        <f t="shared" si="9"/>
        <v>2803882.4853600529</v>
      </c>
      <c r="I157" s="336"/>
      <c r="J157" s="336">
        <f t="shared" si="10"/>
        <v>2803882.4853600529</v>
      </c>
    </row>
    <row r="158" spans="1:10">
      <c r="A158" s="305">
        <v>118</v>
      </c>
      <c r="B158" s="309" t="s">
        <v>552</v>
      </c>
      <c r="C158" s="352" t="s">
        <v>504</v>
      </c>
      <c r="D158" s="375">
        <v>0.223</v>
      </c>
      <c r="E158" s="342"/>
      <c r="F158" s="342">
        <f t="shared" si="8"/>
        <v>0.223</v>
      </c>
      <c r="G158" s="336">
        <v>22970498.221207418</v>
      </c>
      <c r="H158" s="336">
        <f t="shared" si="9"/>
        <v>5122421.1033292543</v>
      </c>
      <c r="I158" s="336"/>
      <c r="J158" s="336">
        <f t="shared" si="10"/>
        <v>5122421.1033292543</v>
      </c>
    </row>
    <row r="159" spans="1:10">
      <c r="A159" s="305">
        <v>119</v>
      </c>
      <c r="B159" s="309" t="s">
        <v>390</v>
      </c>
      <c r="C159" s="352" t="s">
        <v>504</v>
      </c>
      <c r="D159" s="375">
        <v>1.212</v>
      </c>
      <c r="E159" s="342"/>
      <c r="F159" s="342">
        <f t="shared" si="8"/>
        <v>1.212</v>
      </c>
      <c r="G159" s="336">
        <v>22959485.217240658</v>
      </c>
      <c r="H159" s="336">
        <f t="shared" si="9"/>
        <v>27826896.083295677</v>
      </c>
      <c r="I159" s="336"/>
      <c r="J159" s="336">
        <f t="shared" si="10"/>
        <v>27826896.083295677</v>
      </c>
    </row>
    <row r="160" spans="1:10">
      <c r="A160" s="305">
        <v>120</v>
      </c>
      <c r="B160" s="309" t="s">
        <v>440</v>
      </c>
      <c r="C160" s="352" t="s">
        <v>504</v>
      </c>
      <c r="D160" s="375">
        <v>0.29099999999999998</v>
      </c>
      <c r="E160" s="342"/>
      <c r="F160" s="342">
        <f t="shared" si="8"/>
        <v>0.29099999999999998</v>
      </c>
      <c r="G160" s="336">
        <v>23632475.075214513</v>
      </c>
      <c r="H160" s="336">
        <f t="shared" si="9"/>
        <v>6877050.2468874231</v>
      </c>
      <c r="I160" s="336"/>
      <c r="J160" s="336">
        <f t="shared" si="10"/>
        <v>6877050.2468874231</v>
      </c>
    </row>
    <row r="161" spans="1:10">
      <c r="A161" s="305">
        <v>121</v>
      </c>
      <c r="B161" s="309" t="s">
        <v>394</v>
      </c>
      <c r="C161" s="352" t="s">
        <v>504</v>
      </c>
      <c r="D161" s="375">
        <v>1.306</v>
      </c>
      <c r="E161" s="342"/>
      <c r="F161" s="342">
        <f t="shared" si="8"/>
        <v>1.306</v>
      </c>
      <c r="G161" s="336">
        <v>23872760.678466823</v>
      </c>
      <c r="H161" s="336">
        <f t="shared" si="9"/>
        <v>31177825.446077671</v>
      </c>
      <c r="I161" s="336"/>
      <c r="J161" s="336">
        <f t="shared" si="10"/>
        <v>31177825.446077671</v>
      </c>
    </row>
    <row r="162" spans="1:10">
      <c r="A162" s="305">
        <v>122</v>
      </c>
      <c r="B162" s="307" t="s">
        <v>392</v>
      </c>
      <c r="C162" s="352" t="s">
        <v>329</v>
      </c>
      <c r="D162" s="375">
        <v>0.26300000000000001</v>
      </c>
      <c r="E162" s="342"/>
      <c r="F162" s="342">
        <f t="shared" si="8"/>
        <v>0.26300000000000001</v>
      </c>
      <c r="G162" s="336">
        <v>4683274.2184133623</v>
      </c>
      <c r="H162" s="336">
        <f t="shared" si="9"/>
        <v>1231701.1194427144</v>
      </c>
      <c r="I162" s="336"/>
      <c r="J162" s="336">
        <f t="shared" si="10"/>
        <v>1231701.1194427144</v>
      </c>
    </row>
    <row r="163" spans="1:10">
      <c r="A163" s="305">
        <v>123</v>
      </c>
      <c r="B163" s="307" t="s">
        <v>395</v>
      </c>
      <c r="C163" s="352" t="s">
        <v>67</v>
      </c>
      <c r="D163" s="375">
        <v>1.25</v>
      </c>
      <c r="E163" s="342"/>
      <c r="F163" s="342">
        <f t="shared" si="8"/>
        <v>1.25</v>
      </c>
      <c r="G163" s="336">
        <v>10629092.200973125</v>
      </c>
      <c r="H163" s="336">
        <f t="shared" si="9"/>
        <v>13286365.251216406</v>
      </c>
      <c r="I163" s="336"/>
      <c r="J163" s="336">
        <f t="shared" si="10"/>
        <v>13286365.251216406</v>
      </c>
    </row>
    <row r="164" spans="1:10">
      <c r="A164" s="303"/>
      <c r="B164" s="308" t="s">
        <v>553</v>
      </c>
      <c r="C164" s="352"/>
      <c r="D164" s="375">
        <v>0</v>
      </c>
      <c r="E164" s="342"/>
      <c r="F164" s="342">
        <f t="shared" si="8"/>
        <v>0</v>
      </c>
      <c r="G164" s="336">
        <v>0</v>
      </c>
      <c r="H164" s="336">
        <f t="shared" si="9"/>
        <v>0</v>
      </c>
      <c r="I164" s="336"/>
      <c r="J164" s="336">
        <f t="shared" si="10"/>
        <v>0</v>
      </c>
    </row>
    <row r="165" spans="1:10" ht="33">
      <c r="A165" s="305">
        <v>124</v>
      </c>
      <c r="B165" s="309" t="s">
        <v>409</v>
      </c>
      <c r="C165" s="352" t="s">
        <v>323</v>
      </c>
      <c r="D165" s="375">
        <v>24.12</v>
      </c>
      <c r="E165" s="342"/>
      <c r="F165" s="342">
        <f t="shared" si="8"/>
        <v>24.12</v>
      </c>
      <c r="G165" s="336">
        <v>2027464.7566844549</v>
      </c>
      <c r="H165" s="336">
        <f t="shared" si="9"/>
        <v>48902449.931229055</v>
      </c>
      <c r="I165" s="336"/>
      <c r="J165" s="336">
        <f t="shared" si="10"/>
        <v>48902449.931229055</v>
      </c>
    </row>
    <row r="166" spans="1:10">
      <c r="A166" s="305">
        <v>125</v>
      </c>
      <c r="B166" s="309" t="s">
        <v>388</v>
      </c>
      <c r="C166" s="352" t="s">
        <v>326</v>
      </c>
      <c r="D166" s="375">
        <v>24.722999999999999</v>
      </c>
      <c r="E166" s="342"/>
      <c r="F166" s="342">
        <f t="shared" si="8"/>
        <v>24.722999999999999</v>
      </c>
      <c r="G166" s="336">
        <v>30806.869839482002</v>
      </c>
      <c r="H166" s="336">
        <f t="shared" si="9"/>
        <v>761638.24304151349</v>
      </c>
      <c r="I166" s="336"/>
      <c r="J166" s="336">
        <f t="shared" si="10"/>
        <v>761638.24304151349</v>
      </c>
    </row>
    <row r="167" spans="1:10">
      <c r="A167" s="305">
        <v>126</v>
      </c>
      <c r="B167" s="309" t="s">
        <v>552</v>
      </c>
      <c r="C167" s="352" t="s">
        <v>504</v>
      </c>
      <c r="D167" s="375">
        <v>2.3E-2</v>
      </c>
      <c r="E167" s="342"/>
      <c r="F167" s="342">
        <f t="shared" si="8"/>
        <v>2.3E-2</v>
      </c>
      <c r="G167" s="336">
        <v>22970498.221207418</v>
      </c>
      <c r="H167" s="336">
        <f t="shared" si="9"/>
        <v>528321.45908777055</v>
      </c>
      <c r="I167" s="336"/>
      <c r="J167" s="336">
        <f t="shared" si="10"/>
        <v>528321.45908777055</v>
      </c>
    </row>
    <row r="168" spans="1:10">
      <c r="A168" s="305">
        <v>127</v>
      </c>
      <c r="B168" s="309" t="s">
        <v>391</v>
      </c>
      <c r="C168" s="352" t="s">
        <v>504</v>
      </c>
      <c r="D168" s="375">
        <v>2.39</v>
      </c>
      <c r="E168" s="342"/>
      <c r="F168" s="342">
        <f t="shared" si="8"/>
        <v>2.39</v>
      </c>
      <c r="G168" s="336">
        <v>22540677.403458439</v>
      </c>
      <c r="H168" s="336">
        <f t="shared" si="9"/>
        <v>53872218.994265668</v>
      </c>
      <c r="I168" s="336"/>
      <c r="J168" s="336">
        <f t="shared" si="10"/>
        <v>53872218.994265668</v>
      </c>
    </row>
    <row r="169" spans="1:10">
      <c r="A169" s="305">
        <v>128</v>
      </c>
      <c r="B169" s="307" t="s">
        <v>402</v>
      </c>
      <c r="C169" s="352" t="s">
        <v>331</v>
      </c>
      <c r="D169" s="375">
        <v>101</v>
      </c>
      <c r="E169" s="342"/>
      <c r="F169" s="342">
        <f t="shared" si="8"/>
        <v>101</v>
      </c>
      <c r="G169" s="336">
        <v>61715.820088263004</v>
      </c>
      <c r="H169" s="336">
        <f t="shared" si="9"/>
        <v>6233297.8289145632</v>
      </c>
      <c r="I169" s="336"/>
      <c r="J169" s="336">
        <f t="shared" si="10"/>
        <v>6233297.8289145632</v>
      </c>
    </row>
    <row r="170" spans="1:10">
      <c r="A170" s="305">
        <v>129</v>
      </c>
      <c r="B170" s="309" t="s">
        <v>410</v>
      </c>
      <c r="C170" s="352" t="s">
        <v>323</v>
      </c>
      <c r="D170" s="375">
        <v>6.06</v>
      </c>
      <c r="E170" s="342"/>
      <c r="F170" s="342">
        <f t="shared" si="8"/>
        <v>6.06</v>
      </c>
      <c r="G170" s="336">
        <v>1623118.7803397712</v>
      </c>
      <c r="H170" s="336">
        <f t="shared" si="9"/>
        <v>9836099.808859013</v>
      </c>
      <c r="I170" s="336"/>
      <c r="J170" s="336">
        <f t="shared" si="10"/>
        <v>9836099.808859013</v>
      </c>
    </row>
    <row r="171" spans="1:10">
      <c r="A171" s="305">
        <v>130</v>
      </c>
      <c r="B171" s="307" t="s">
        <v>392</v>
      </c>
      <c r="C171" s="352" t="s">
        <v>329</v>
      </c>
      <c r="D171" s="375">
        <v>0.17499999999999999</v>
      </c>
      <c r="E171" s="342"/>
      <c r="F171" s="342">
        <f t="shared" si="8"/>
        <v>0.17499999999999999</v>
      </c>
      <c r="G171" s="336">
        <v>4683274.2184133623</v>
      </c>
      <c r="H171" s="336">
        <f t="shared" si="9"/>
        <v>819572.98822233838</v>
      </c>
      <c r="I171" s="336"/>
      <c r="J171" s="336">
        <f t="shared" si="10"/>
        <v>819572.98822233838</v>
      </c>
    </row>
    <row r="172" spans="1:10">
      <c r="A172" s="305">
        <v>131</v>
      </c>
      <c r="B172" s="307" t="s">
        <v>411</v>
      </c>
      <c r="C172" s="352" t="s">
        <v>106</v>
      </c>
      <c r="D172" s="375">
        <v>9.8000000000000004E-2</v>
      </c>
      <c r="E172" s="342"/>
      <c r="F172" s="342">
        <f t="shared" si="8"/>
        <v>9.8000000000000004E-2</v>
      </c>
      <c r="G172" s="336">
        <v>2323017.5938828867</v>
      </c>
      <c r="H172" s="336">
        <f t="shared" si="9"/>
        <v>227655.72420052291</v>
      </c>
      <c r="I172" s="336"/>
      <c r="J172" s="336">
        <f t="shared" si="10"/>
        <v>227655.72420052291</v>
      </c>
    </row>
    <row r="173" spans="1:10">
      <c r="A173" s="305">
        <v>132</v>
      </c>
      <c r="B173" s="309" t="s">
        <v>554</v>
      </c>
      <c r="C173" s="352" t="s">
        <v>330</v>
      </c>
      <c r="D173" s="375">
        <v>4.04</v>
      </c>
      <c r="E173" s="342"/>
      <c r="F173" s="342">
        <f t="shared" si="8"/>
        <v>4.04</v>
      </c>
      <c r="G173" s="336">
        <v>192397.84604611999</v>
      </c>
      <c r="H173" s="336">
        <f t="shared" si="9"/>
        <v>777287.29802632472</v>
      </c>
      <c r="I173" s="336"/>
      <c r="J173" s="336">
        <f t="shared" si="10"/>
        <v>777287.29802632472</v>
      </c>
    </row>
    <row r="174" spans="1:10">
      <c r="A174" s="303"/>
      <c r="B174" s="308" t="s">
        <v>555</v>
      </c>
      <c r="C174" s="352"/>
      <c r="D174" s="340"/>
      <c r="E174" s="342"/>
      <c r="F174" s="342">
        <f t="shared" si="8"/>
        <v>0</v>
      </c>
      <c r="G174" s="336"/>
      <c r="H174" s="336">
        <f t="shared" si="9"/>
        <v>0</v>
      </c>
      <c r="I174" s="336"/>
      <c r="J174" s="336">
        <f t="shared" si="10"/>
        <v>0</v>
      </c>
    </row>
    <row r="175" spans="1:10" ht="33">
      <c r="A175" s="303">
        <v>133</v>
      </c>
      <c r="B175" s="307" t="s">
        <v>556</v>
      </c>
      <c r="C175" s="352" t="s">
        <v>325</v>
      </c>
      <c r="D175" s="375">
        <v>2.2709999999999999</v>
      </c>
      <c r="E175" s="342"/>
      <c r="F175" s="342">
        <f t="shared" si="8"/>
        <v>2.2709999999999999</v>
      </c>
      <c r="G175" s="336">
        <v>15606522.859853663</v>
      </c>
      <c r="H175" s="336">
        <f t="shared" si="9"/>
        <v>35442413.414727665</v>
      </c>
      <c r="I175" s="336"/>
      <c r="J175" s="336">
        <f t="shared" si="10"/>
        <v>35442413.414727665</v>
      </c>
    </row>
    <row r="176" spans="1:10" ht="33">
      <c r="A176" s="303">
        <v>134</v>
      </c>
      <c r="B176" s="307" t="s">
        <v>557</v>
      </c>
      <c r="C176" s="352" t="s">
        <v>325</v>
      </c>
      <c r="D176" s="375">
        <v>2.2709999999999999</v>
      </c>
      <c r="E176" s="342"/>
      <c r="F176" s="342">
        <f t="shared" si="8"/>
        <v>2.2709999999999999</v>
      </c>
      <c r="G176" s="336">
        <v>2713602.7903804714</v>
      </c>
      <c r="H176" s="336">
        <f t="shared" si="9"/>
        <v>6162591.9369540503</v>
      </c>
      <c r="I176" s="336"/>
      <c r="J176" s="336">
        <f t="shared" si="10"/>
        <v>6162591.9369540503</v>
      </c>
    </row>
    <row r="177" spans="1:10">
      <c r="A177" s="303">
        <v>135</v>
      </c>
      <c r="B177" s="309" t="s">
        <v>558</v>
      </c>
      <c r="C177" s="352" t="s">
        <v>70</v>
      </c>
      <c r="D177" s="375">
        <v>0.45500000000000002</v>
      </c>
      <c r="E177" s="342"/>
      <c r="F177" s="342">
        <f t="shared" si="8"/>
        <v>0.45500000000000002</v>
      </c>
      <c r="G177" s="336">
        <v>81099718.991999239</v>
      </c>
      <c r="H177" s="336">
        <f t="shared" si="9"/>
        <v>36900372.141359657</v>
      </c>
      <c r="I177" s="336"/>
      <c r="J177" s="336">
        <f t="shared" si="10"/>
        <v>36900372.141359657</v>
      </c>
    </row>
    <row r="178" spans="1:10">
      <c r="A178" s="303">
        <v>136</v>
      </c>
      <c r="B178" s="309" t="s">
        <v>559</v>
      </c>
      <c r="C178" s="352" t="s">
        <v>70</v>
      </c>
      <c r="D178" s="375">
        <v>0.23200000000000001</v>
      </c>
      <c r="E178" s="342"/>
      <c r="F178" s="342">
        <f t="shared" si="8"/>
        <v>0.23200000000000001</v>
      </c>
      <c r="G178" s="336">
        <v>74124698.582322836</v>
      </c>
      <c r="H178" s="336">
        <f t="shared" si="9"/>
        <v>17196930.071098898</v>
      </c>
      <c r="I178" s="336"/>
      <c r="J178" s="336">
        <f t="shared" si="10"/>
        <v>17196930.071098898</v>
      </c>
    </row>
    <row r="179" spans="1:10">
      <c r="A179" s="303">
        <v>137</v>
      </c>
      <c r="B179" s="309" t="s">
        <v>560</v>
      </c>
      <c r="C179" s="352" t="s">
        <v>320</v>
      </c>
      <c r="D179" s="375">
        <v>0.57899999999999996</v>
      </c>
      <c r="E179" s="342"/>
      <c r="F179" s="342">
        <f t="shared" si="8"/>
        <v>0.57899999999999996</v>
      </c>
      <c r="G179" s="336">
        <v>19451475.52634649</v>
      </c>
      <c r="H179" s="336">
        <f t="shared" si="9"/>
        <v>11262404.329754617</v>
      </c>
      <c r="I179" s="336"/>
      <c r="J179" s="336">
        <f t="shared" si="10"/>
        <v>11262404.329754617</v>
      </c>
    </row>
    <row r="180" spans="1:10">
      <c r="A180" s="303">
        <v>138</v>
      </c>
      <c r="B180" s="309" t="s">
        <v>414</v>
      </c>
      <c r="C180" s="352" t="s">
        <v>320</v>
      </c>
      <c r="D180" s="375">
        <v>3.39</v>
      </c>
      <c r="E180" s="342"/>
      <c r="F180" s="342">
        <f t="shared" si="8"/>
        <v>3.39</v>
      </c>
      <c r="G180" s="336">
        <v>19341236.714466874</v>
      </c>
      <c r="H180" s="336">
        <f t="shared" si="9"/>
        <v>65566792.462042704</v>
      </c>
      <c r="I180" s="336"/>
      <c r="J180" s="336">
        <f t="shared" si="10"/>
        <v>65566792.462042704</v>
      </c>
    </row>
    <row r="181" spans="1:10" ht="33">
      <c r="A181" s="303">
        <v>139</v>
      </c>
      <c r="B181" s="307" t="s">
        <v>415</v>
      </c>
      <c r="C181" s="352" t="s">
        <v>320</v>
      </c>
      <c r="D181" s="375">
        <v>2.6219999999999999</v>
      </c>
      <c r="E181" s="342"/>
      <c r="F181" s="342">
        <f t="shared" si="8"/>
        <v>2.6219999999999999</v>
      </c>
      <c r="G181" s="336">
        <v>2997242.3936378886</v>
      </c>
      <c r="H181" s="336">
        <f t="shared" si="9"/>
        <v>7858769.5561185433</v>
      </c>
      <c r="I181" s="336"/>
      <c r="J181" s="336">
        <f t="shared" si="10"/>
        <v>7858769.5561185433</v>
      </c>
    </row>
    <row r="182" spans="1:10">
      <c r="A182" s="303">
        <v>140</v>
      </c>
      <c r="B182" s="307" t="s">
        <v>346</v>
      </c>
      <c r="C182" s="352" t="s">
        <v>321</v>
      </c>
      <c r="D182" s="375">
        <v>0.40500000000000003</v>
      </c>
      <c r="E182" s="342"/>
      <c r="F182" s="342">
        <f t="shared" si="8"/>
        <v>0.40500000000000003</v>
      </c>
      <c r="G182" s="336">
        <v>731754.59304715903</v>
      </c>
      <c r="H182" s="336">
        <f t="shared" si="9"/>
        <v>296360.61018409941</v>
      </c>
      <c r="I182" s="336"/>
      <c r="J182" s="336">
        <f t="shared" si="10"/>
        <v>296360.61018409941</v>
      </c>
    </row>
    <row r="183" spans="1:10">
      <c r="A183" s="303">
        <v>141</v>
      </c>
      <c r="B183" s="307" t="s">
        <v>561</v>
      </c>
      <c r="C183" s="352" t="s">
        <v>67</v>
      </c>
      <c r="D183" s="375">
        <v>1.0940000000000001</v>
      </c>
      <c r="E183" s="342"/>
      <c r="F183" s="342">
        <f t="shared" si="8"/>
        <v>1.0940000000000001</v>
      </c>
      <c r="G183" s="336">
        <v>160062.81179567799</v>
      </c>
      <c r="H183" s="336">
        <f t="shared" si="9"/>
        <v>175108.71610447174</v>
      </c>
      <c r="I183" s="336"/>
      <c r="J183" s="336">
        <f t="shared" si="10"/>
        <v>175108.71610447174</v>
      </c>
    </row>
    <row r="184" spans="1:10">
      <c r="A184" s="303">
        <v>142</v>
      </c>
      <c r="B184" s="309" t="s">
        <v>396</v>
      </c>
      <c r="C184" s="352" t="s">
        <v>325</v>
      </c>
      <c r="D184" s="375">
        <v>1.1579999999999999</v>
      </c>
      <c r="E184" s="342"/>
      <c r="F184" s="342">
        <f t="shared" si="8"/>
        <v>1.1579999999999999</v>
      </c>
      <c r="G184" s="336">
        <v>2389507.7110639899</v>
      </c>
      <c r="H184" s="336">
        <f t="shared" si="9"/>
        <v>2767049.9294121</v>
      </c>
      <c r="I184" s="336"/>
      <c r="J184" s="336">
        <f t="shared" si="10"/>
        <v>2767049.9294121</v>
      </c>
    </row>
    <row r="185" spans="1:10">
      <c r="A185" s="303"/>
      <c r="B185" s="308" t="s">
        <v>562</v>
      </c>
      <c r="C185" s="352"/>
      <c r="D185" s="375"/>
      <c r="E185" s="342"/>
      <c r="F185" s="342">
        <f t="shared" si="8"/>
        <v>0</v>
      </c>
      <c r="G185" s="336"/>
      <c r="H185" s="336">
        <f t="shared" si="9"/>
        <v>0</v>
      </c>
      <c r="I185" s="336"/>
      <c r="J185" s="336">
        <f t="shared" si="10"/>
        <v>0</v>
      </c>
    </row>
    <row r="186" spans="1:10">
      <c r="A186" s="305">
        <v>143</v>
      </c>
      <c r="B186" s="309" t="s">
        <v>563</v>
      </c>
      <c r="C186" s="352" t="s">
        <v>323</v>
      </c>
      <c r="D186" s="375">
        <v>3.19</v>
      </c>
      <c r="E186" s="342"/>
      <c r="F186" s="342">
        <f t="shared" si="8"/>
        <v>3.19</v>
      </c>
      <c r="G186" s="336">
        <v>2608057.7646897146</v>
      </c>
      <c r="H186" s="336">
        <f t="shared" si="9"/>
        <v>8319704.2693601893</v>
      </c>
      <c r="I186" s="336"/>
      <c r="J186" s="336">
        <f t="shared" si="10"/>
        <v>8319704.2693601893</v>
      </c>
    </row>
    <row r="187" spans="1:10">
      <c r="A187" s="305">
        <v>144</v>
      </c>
      <c r="B187" s="309" t="s">
        <v>388</v>
      </c>
      <c r="C187" s="352" t="s">
        <v>326</v>
      </c>
      <c r="D187" s="375">
        <v>3.27</v>
      </c>
      <c r="E187" s="342"/>
      <c r="F187" s="342">
        <f t="shared" si="8"/>
        <v>3.27</v>
      </c>
      <c r="G187" s="336">
        <v>30806.869839482002</v>
      </c>
      <c r="H187" s="336">
        <f t="shared" si="9"/>
        <v>100738.46437510615</v>
      </c>
      <c r="I187" s="336"/>
      <c r="J187" s="336">
        <f t="shared" si="10"/>
        <v>100738.46437510615</v>
      </c>
    </row>
    <row r="188" spans="1:10">
      <c r="A188" s="305">
        <v>145</v>
      </c>
      <c r="B188" s="307" t="s">
        <v>402</v>
      </c>
      <c r="C188" s="352" t="s">
        <v>331</v>
      </c>
      <c r="D188" s="375">
        <v>33</v>
      </c>
      <c r="E188" s="342"/>
      <c r="F188" s="342">
        <f t="shared" si="8"/>
        <v>33</v>
      </c>
      <c r="G188" s="336">
        <v>61715.820088263004</v>
      </c>
      <c r="H188" s="336">
        <f t="shared" si="9"/>
        <v>2036622.062912679</v>
      </c>
      <c r="I188" s="336"/>
      <c r="J188" s="336">
        <f t="shared" si="10"/>
        <v>2036622.062912679</v>
      </c>
    </row>
    <row r="189" spans="1:10">
      <c r="A189" s="305">
        <v>146</v>
      </c>
      <c r="B189" s="307" t="s">
        <v>395</v>
      </c>
      <c r="C189" s="352" t="s">
        <v>67</v>
      </c>
      <c r="D189" s="375">
        <v>0.22600000000000001</v>
      </c>
      <c r="E189" s="342"/>
      <c r="F189" s="342">
        <f t="shared" si="8"/>
        <v>0.22600000000000001</v>
      </c>
      <c r="G189" s="336">
        <v>10629092.200973125</v>
      </c>
      <c r="H189" s="336">
        <f t="shared" si="9"/>
        <v>2402174.8374199262</v>
      </c>
      <c r="I189" s="336"/>
      <c r="J189" s="336">
        <f t="shared" si="10"/>
        <v>2402174.8374199262</v>
      </c>
    </row>
    <row r="190" spans="1:10">
      <c r="A190" s="303"/>
      <c r="B190" s="312" t="s">
        <v>564</v>
      </c>
      <c r="C190" s="352"/>
      <c r="D190" s="375"/>
      <c r="E190" s="342"/>
      <c r="F190" s="342">
        <f t="shared" si="8"/>
        <v>0</v>
      </c>
      <c r="G190" s="336"/>
      <c r="H190" s="336">
        <f t="shared" si="9"/>
        <v>0</v>
      </c>
      <c r="I190" s="336"/>
      <c r="J190" s="336">
        <f t="shared" si="10"/>
        <v>0</v>
      </c>
    </row>
    <row r="191" spans="1:10">
      <c r="A191" s="303">
        <v>147</v>
      </c>
      <c r="B191" s="307" t="s">
        <v>424</v>
      </c>
      <c r="C191" s="352" t="s">
        <v>328</v>
      </c>
      <c r="D191" s="375">
        <v>8.74</v>
      </c>
      <c r="E191" s="342"/>
      <c r="F191" s="342">
        <f t="shared" si="8"/>
        <v>8.74</v>
      </c>
      <c r="G191" s="336">
        <v>2005171.5633173073</v>
      </c>
      <c r="H191" s="336">
        <f t="shared" si="9"/>
        <v>17525199.463393267</v>
      </c>
      <c r="I191" s="336"/>
      <c r="J191" s="336">
        <f t="shared" si="10"/>
        <v>17525199.463393267</v>
      </c>
    </row>
    <row r="192" spans="1:10">
      <c r="A192" s="303">
        <v>148</v>
      </c>
      <c r="B192" s="307" t="s">
        <v>402</v>
      </c>
      <c r="C192" s="352" t="s">
        <v>331</v>
      </c>
      <c r="D192" s="375">
        <v>22</v>
      </c>
      <c r="E192" s="342"/>
      <c r="F192" s="342">
        <f t="shared" si="8"/>
        <v>22</v>
      </c>
      <c r="G192" s="336">
        <v>61715.820088263004</v>
      </c>
      <c r="H192" s="336">
        <f t="shared" si="9"/>
        <v>1357748.0419417862</v>
      </c>
      <c r="I192" s="336"/>
      <c r="J192" s="336">
        <f t="shared" si="10"/>
        <v>1357748.0419417862</v>
      </c>
    </row>
    <row r="193" spans="1:10">
      <c r="A193" s="303">
        <v>149</v>
      </c>
      <c r="B193" s="309" t="s">
        <v>425</v>
      </c>
      <c r="C193" s="352" t="s">
        <v>331</v>
      </c>
      <c r="D193" s="375">
        <v>115.98</v>
      </c>
      <c r="E193" s="342"/>
      <c r="F193" s="342">
        <f t="shared" si="8"/>
        <v>115.98</v>
      </c>
      <c r="G193" s="336">
        <v>155106.01099133803</v>
      </c>
      <c r="H193" s="336">
        <f t="shared" si="9"/>
        <v>17989195.154775385</v>
      </c>
      <c r="I193" s="336"/>
      <c r="J193" s="336">
        <f t="shared" si="10"/>
        <v>17989195.154775385</v>
      </c>
    </row>
    <row r="194" spans="1:10">
      <c r="A194" s="303">
        <v>150</v>
      </c>
      <c r="B194" s="309" t="s">
        <v>426</v>
      </c>
      <c r="C194" s="352" t="s">
        <v>323</v>
      </c>
      <c r="D194" s="375">
        <v>77.58</v>
      </c>
      <c r="E194" s="342"/>
      <c r="F194" s="342">
        <f t="shared" si="8"/>
        <v>77.58</v>
      </c>
      <c r="G194" s="336">
        <v>1913905.107270387</v>
      </c>
      <c r="H194" s="336">
        <f t="shared" si="9"/>
        <v>148480758.22203663</v>
      </c>
      <c r="I194" s="336"/>
      <c r="J194" s="336">
        <f t="shared" si="10"/>
        <v>148480758.22203663</v>
      </c>
    </row>
    <row r="195" spans="1:10">
      <c r="A195" s="303">
        <v>151</v>
      </c>
      <c r="B195" s="309" t="s">
        <v>427</v>
      </c>
      <c r="C195" s="352" t="s">
        <v>323</v>
      </c>
      <c r="D195" s="375">
        <v>3.55</v>
      </c>
      <c r="E195" s="342"/>
      <c r="F195" s="342">
        <f t="shared" si="8"/>
        <v>3.55</v>
      </c>
      <c r="G195" s="336">
        <v>2075012.3269724092</v>
      </c>
      <c r="H195" s="336">
        <f t="shared" si="9"/>
        <v>7366293.7607520521</v>
      </c>
      <c r="I195" s="336"/>
      <c r="J195" s="336">
        <f t="shared" si="10"/>
        <v>7366293.7607520521</v>
      </c>
    </row>
    <row r="196" spans="1:10">
      <c r="A196" s="303">
        <v>152</v>
      </c>
      <c r="B196" s="309" t="s">
        <v>428</v>
      </c>
      <c r="C196" s="352" t="s">
        <v>325</v>
      </c>
      <c r="D196" s="375">
        <v>1.6679999999999999</v>
      </c>
      <c r="E196" s="342"/>
      <c r="F196" s="342">
        <f t="shared" si="8"/>
        <v>1.6679999999999999</v>
      </c>
      <c r="G196" s="336">
        <v>7108481.6021530079</v>
      </c>
      <c r="H196" s="336">
        <f t="shared" si="9"/>
        <v>11856947.312391216</v>
      </c>
      <c r="I196" s="336"/>
      <c r="J196" s="336">
        <f t="shared" si="10"/>
        <v>11856947.312391216</v>
      </c>
    </row>
    <row r="197" spans="1:10">
      <c r="A197" s="303">
        <v>153</v>
      </c>
      <c r="B197" s="307" t="s">
        <v>429</v>
      </c>
      <c r="C197" s="352" t="s">
        <v>329</v>
      </c>
      <c r="D197" s="375">
        <v>0.58699999999999997</v>
      </c>
      <c r="E197" s="342"/>
      <c r="F197" s="342">
        <f t="shared" si="8"/>
        <v>0.58699999999999997</v>
      </c>
      <c r="G197" s="336">
        <v>4683274.2184133623</v>
      </c>
      <c r="H197" s="336">
        <f t="shared" si="9"/>
        <v>2749081.9662086433</v>
      </c>
      <c r="I197" s="336"/>
      <c r="J197" s="336">
        <f t="shared" si="10"/>
        <v>2749081.9662086433</v>
      </c>
    </row>
    <row r="198" spans="1:10">
      <c r="A198" s="303">
        <v>154</v>
      </c>
      <c r="B198" s="309" t="s">
        <v>430</v>
      </c>
      <c r="C198" s="352" t="s">
        <v>504</v>
      </c>
      <c r="D198" s="375">
        <v>0.26700000000000002</v>
      </c>
      <c r="E198" s="342"/>
      <c r="F198" s="342">
        <f t="shared" si="8"/>
        <v>0.26700000000000002</v>
      </c>
      <c r="G198" s="336">
        <v>25295809.643405579</v>
      </c>
      <c r="H198" s="336">
        <f t="shared" si="9"/>
        <v>6753981.1747892899</v>
      </c>
      <c r="I198" s="336"/>
      <c r="J198" s="336">
        <f t="shared" si="10"/>
        <v>6753981.1747892899</v>
      </c>
    </row>
    <row r="199" spans="1:10">
      <c r="A199" s="303">
        <v>155</v>
      </c>
      <c r="B199" s="309" t="s">
        <v>431</v>
      </c>
      <c r="C199" s="352" t="s">
        <v>67</v>
      </c>
      <c r="D199" s="375">
        <v>0.38400000000000001</v>
      </c>
      <c r="E199" s="342"/>
      <c r="F199" s="342">
        <f t="shared" si="8"/>
        <v>0.38400000000000001</v>
      </c>
      <c r="G199" s="336">
        <v>5558074.4905193755</v>
      </c>
      <c r="H199" s="336">
        <f t="shared" si="9"/>
        <v>2134300.60435944</v>
      </c>
      <c r="I199" s="336"/>
      <c r="J199" s="336">
        <f t="shared" si="10"/>
        <v>2134300.60435944</v>
      </c>
    </row>
    <row r="200" spans="1:10">
      <c r="A200" s="305"/>
      <c r="B200" s="312" t="s">
        <v>450</v>
      </c>
      <c r="C200" s="352"/>
      <c r="D200" s="340"/>
      <c r="E200" s="342"/>
      <c r="F200" s="342">
        <f t="shared" si="8"/>
        <v>0</v>
      </c>
      <c r="G200" s="336"/>
      <c r="H200" s="336">
        <f t="shared" si="9"/>
        <v>0</v>
      </c>
      <c r="I200" s="336"/>
      <c r="J200" s="336">
        <f t="shared" si="10"/>
        <v>0</v>
      </c>
    </row>
    <row r="201" spans="1:10">
      <c r="A201" s="303">
        <v>156</v>
      </c>
      <c r="B201" s="309" t="s">
        <v>417</v>
      </c>
      <c r="C201" s="352" t="s">
        <v>323</v>
      </c>
      <c r="D201" s="355">
        <v>0.19</v>
      </c>
      <c r="E201" s="342"/>
      <c r="F201" s="342">
        <f t="shared" si="8"/>
        <v>0.19</v>
      </c>
      <c r="G201" s="336">
        <v>1843516.7108116439</v>
      </c>
      <c r="H201" s="336">
        <f t="shared" si="9"/>
        <v>350268.17505421233</v>
      </c>
      <c r="I201" s="336"/>
      <c r="J201" s="336">
        <f t="shared" si="10"/>
        <v>350268.17505421233</v>
      </c>
    </row>
    <row r="202" spans="1:10">
      <c r="A202" s="303">
        <v>157</v>
      </c>
      <c r="B202" s="309" t="s">
        <v>401</v>
      </c>
      <c r="C202" s="352" t="s">
        <v>106</v>
      </c>
      <c r="D202" s="355">
        <v>5.7000000000000002E-2</v>
      </c>
      <c r="E202" s="342"/>
      <c r="F202" s="342">
        <f t="shared" si="8"/>
        <v>5.7000000000000002E-2</v>
      </c>
      <c r="G202" s="336">
        <v>3027931.0010723178</v>
      </c>
      <c r="H202" s="336">
        <f t="shared" si="9"/>
        <v>172592.06706112213</v>
      </c>
      <c r="I202" s="336"/>
      <c r="J202" s="336">
        <f t="shared" si="10"/>
        <v>172592.06706112213</v>
      </c>
    </row>
    <row r="203" spans="1:10">
      <c r="A203" s="303">
        <v>158</v>
      </c>
      <c r="B203" s="309" t="s">
        <v>418</v>
      </c>
      <c r="C203" s="352" t="s">
        <v>509</v>
      </c>
      <c r="D203" s="355">
        <v>2</v>
      </c>
      <c r="E203" s="342"/>
      <c r="F203" s="342">
        <f t="shared" si="8"/>
        <v>2</v>
      </c>
      <c r="G203" s="336">
        <v>608345.70500000007</v>
      </c>
      <c r="H203" s="336">
        <f t="shared" si="9"/>
        <v>1216691.4100000001</v>
      </c>
      <c r="I203" s="336"/>
      <c r="J203" s="336">
        <f t="shared" si="10"/>
        <v>1216691.4100000001</v>
      </c>
    </row>
    <row r="204" spans="1:10">
      <c r="A204" s="303">
        <v>159</v>
      </c>
      <c r="B204" s="309" t="s">
        <v>419</v>
      </c>
      <c r="C204" s="352" t="s">
        <v>504</v>
      </c>
      <c r="D204" s="355">
        <v>1.4E-2</v>
      </c>
      <c r="E204" s="342"/>
      <c r="F204" s="342">
        <f t="shared" si="8"/>
        <v>1.4E-2</v>
      </c>
      <c r="G204" s="336">
        <v>90229834.965600014</v>
      </c>
      <c r="H204" s="336">
        <f t="shared" si="9"/>
        <v>1263217.6895184002</v>
      </c>
      <c r="I204" s="336"/>
      <c r="J204" s="336">
        <f t="shared" si="10"/>
        <v>1263217.6895184002</v>
      </c>
    </row>
    <row r="205" spans="1:10">
      <c r="A205" s="303">
        <v>160</v>
      </c>
      <c r="B205" s="309" t="s">
        <v>420</v>
      </c>
      <c r="C205" s="352" t="s">
        <v>320</v>
      </c>
      <c r="D205" s="355">
        <v>1.5980000000000001</v>
      </c>
      <c r="E205" s="342"/>
      <c r="F205" s="342">
        <f t="shared" si="8"/>
        <v>1.5980000000000001</v>
      </c>
      <c r="G205" s="336">
        <v>19341236.714466874</v>
      </c>
      <c r="H205" s="336">
        <f t="shared" si="9"/>
        <v>30907296.269718066</v>
      </c>
      <c r="I205" s="336"/>
      <c r="J205" s="336">
        <f t="shared" si="10"/>
        <v>30907296.269718066</v>
      </c>
    </row>
    <row r="206" spans="1:10">
      <c r="A206" s="303">
        <v>161</v>
      </c>
      <c r="B206" s="307" t="s">
        <v>421</v>
      </c>
      <c r="C206" s="352" t="s">
        <v>321</v>
      </c>
      <c r="D206" s="355">
        <v>3.7999999999999999E-2</v>
      </c>
      <c r="E206" s="342"/>
      <c r="F206" s="342">
        <f t="shared" si="8"/>
        <v>3.7999999999999999E-2</v>
      </c>
      <c r="G206" s="336">
        <v>1235604.0262844632</v>
      </c>
      <c r="H206" s="336">
        <f t="shared" si="9"/>
        <v>46952.952998809604</v>
      </c>
      <c r="I206" s="336"/>
      <c r="J206" s="336">
        <f t="shared" si="10"/>
        <v>46952.952998809604</v>
      </c>
    </row>
    <row r="207" spans="1:10">
      <c r="A207" s="303"/>
      <c r="B207" s="312" t="s">
        <v>565</v>
      </c>
      <c r="C207" s="352"/>
      <c r="D207" s="355">
        <v>0</v>
      </c>
      <c r="E207" s="342"/>
      <c r="F207" s="342">
        <f t="shared" si="8"/>
        <v>0</v>
      </c>
      <c r="G207" s="336">
        <v>0</v>
      </c>
      <c r="H207" s="336">
        <f t="shared" si="9"/>
        <v>0</v>
      </c>
      <c r="I207" s="336"/>
      <c r="J207" s="336">
        <f t="shared" si="10"/>
        <v>0</v>
      </c>
    </row>
    <row r="208" spans="1:10">
      <c r="A208" s="303">
        <v>162</v>
      </c>
      <c r="B208" s="309" t="s">
        <v>359</v>
      </c>
      <c r="C208" s="352" t="s">
        <v>323</v>
      </c>
      <c r="D208" s="355">
        <v>0.9</v>
      </c>
      <c r="E208" s="342"/>
      <c r="F208" s="342">
        <f t="shared" si="8"/>
        <v>0.9</v>
      </c>
      <c r="G208" s="336">
        <v>1843516.7108116439</v>
      </c>
      <c r="H208" s="336">
        <f t="shared" si="9"/>
        <v>1659165.0397304795</v>
      </c>
      <c r="I208" s="336"/>
      <c r="J208" s="336">
        <f t="shared" si="10"/>
        <v>1659165.0397304795</v>
      </c>
    </row>
    <row r="209" spans="1:10">
      <c r="A209" s="303">
        <v>163</v>
      </c>
      <c r="B209" s="309" t="s">
        <v>360</v>
      </c>
      <c r="C209" s="352" t="s">
        <v>323</v>
      </c>
      <c r="D209" s="355">
        <v>0.4</v>
      </c>
      <c r="E209" s="342"/>
      <c r="F209" s="342">
        <f t="shared" si="8"/>
        <v>0.4</v>
      </c>
      <c r="G209" s="336">
        <v>1760696.5265329438</v>
      </c>
      <c r="H209" s="336">
        <f t="shared" si="9"/>
        <v>704278.61061317753</v>
      </c>
      <c r="I209" s="336"/>
      <c r="J209" s="336">
        <f t="shared" si="10"/>
        <v>704278.61061317753</v>
      </c>
    </row>
    <row r="210" spans="1:10">
      <c r="A210" s="303">
        <v>164</v>
      </c>
      <c r="B210" s="307" t="s">
        <v>402</v>
      </c>
      <c r="C210" s="352" t="s">
        <v>331</v>
      </c>
      <c r="D210" s="355">
        <v>3.3330000000000002</v>
      </c>
      <c r="E210" s="342"/>
      <c r="F210" s="342">
        <f t="shared" si="8"/>
        <v>3.3330000000000002</v>
      </c>
      <c r="G210" s="336">
        <v>61715.820088263004</v>
      </c>
      <c r="H210" s="336">
        <f t="shared" si="9"/>
        <v>205698.82835418062</v>
      </c>
      <c r="I210" s="336"/>
      <c r="J210" s="336">
        <f t="shared" si="10"/>
        <v>205698.82835418062</v>
      </c>
    </row>
    <row r="211" spans="1:10">
      <c r="A211" s="303">
        <v>165</v>
      </c>
      <c r="B211" s="307" t="s">
        <v>566</v>
      </c>
      <c r="C211" s="352" t="s">
        <v>567</v>
      </c>
      <c r="D211" s="355">
        <v>20</v>
      </c>
      <c r="E211" s="342"/>
      <c r="F211" s="342">
        <f t="shared" si="8"/>
        <v>20</v>
      </c>
      <c r="G211" s="336">
        <v>16110.089290669001</v>
      </c>
      <c r="H211" s="336">
        <f t="shared" si="9"/>
        <v>322201.78581338003</v>
      </c>
      <c r="I211" s="336"/>
      <c r="J211" s="336">
        <f t="shared" si="10"/>
        <v>322201.78581338003</v>
      </c>
    </row>
    <row r="212" spans="1:10">
      <c r="A212" s="303">
        <v>166</v>
      </c>
      <c r="B212" s="309" t="s">
        <v>568</v>
      </c>
      <c r="C212" s="352" t="s">
        <v>569</v>
      </c>
      <c r="D212" s="355">
        <v>12</v>
      </c>
      <c r="E212" s="342"/>
      <c r="F212" s="342">
        <f t="shared" si="8"/>
        <v>12</v>
      </c>
      <c r="G212" s="336">
        <v>635997.81568249292</v>
      </c>
      <c r="H212" s="336">
        <f t="shared" si="9"/>
        <v>7631973.788189915</v>
      </c>
      <c r="I212" s="336"/>
      <c r="J212" s="336">
        <f t="shared" si="10"/>
        <v>7631973.788189915</v>
      </c>
    </row>
    <row r="213" spans="1:10">
      <c r="A213" s="303">
        <v>167</v>
      </c>
      <c r="B213" s="309" t="s">
        <v>570</v>
      </c>
      <c r="C213" s="352" t="s">
        <v>509</v>
      </c>
      <c r="D213" s="355">
        <v>16</v>
      </c>
      <c r="E213" s="342"/>
      <c r="F213" s="342">
        <f t="shared" si="8"/>
        <v>16</v>
      </c>
      <c r="G213" s="336">
        <v>445808.99456036906</v>
      </c>
      <c r="H213" s="336">
        <f t="shared" si="9"/>
        <v>7132943.9129659049</v>
      </c>
      <c r="I213" s="336"/>
      <c r="J213" s="336">
        <f t="shared" si="10"/>
        <v>7132943.9129659049</v>
      </c>
    </row>
    <row r="214" spans="1:10">
      <c r="A214" s="303">
        <v>168</v>
      </c>
      <c r="B214" s="309" t="s">
        <v>571</v>
      </c>
      <c r="C214" s="352" t="s">
        <v>509</v>
      </c>
      <c r="D214" s="355">
        <v>16</v>
      </c>
      <c r="E214" s="342"/>
      <c r="F214" s="342">
        <f t="shared" si="8"/>
        <v>16</v>
      </c>
      <c r="G214" s="336">
        <v>74875.189371400003</v>
      </c>
      <c r="H214" s="336">
        <f t="shared" si="9"/>
        <v>1198003.0299424001</v>
      </c>
      <c r="I214" s="336"/>
      <c r="J214" s="336">
        <f t="shared" si="10"/>
        <v>1198003.0299424001</v>
      </c>
    </row>
    <row r="215" spans="1:10">
      <c r="A215" s="303">
        <v>169</v>
      </c>
      <c r="B215" s="309" t="s">
        <v>572</v>
      </c>
      <c r="C215" s="352" t="s">
        <v>569</v>
      </c>
      <c r="D215" s="355">
        <v>8</v>
      </c>
      <c r="E215" s="342"/>
      <c r="F215" s="342">
        <f t="shared" si="8"/>
        <v>8</v>
      </c>
      <c r="G215" s="336">
        <v>198411.34334004502</v>
      </c>
      <c r="H215" s="336">
        <f t="shared" si="9"/>
        <v>1587290.7467203601</v>
      </c>
      <c r="I215" s="336"/>
      <c r="J215" s="336">
        <f t="shared" si="10"/>
        <v>1587290.7467203601</v>
      </c>
    </row>
    <row r="216" spans="1:10">
      <c r="A216" s="303">
        <v>170</v>
      </c>
      <c r="B216" s="309" t="s">
        <v>573</v>
      </c>
      <c r="C216" s="352" t="s">
        <v>574</v>
      </c>
      <c r="D216" s="355">
        <v>16</v>
      </c>
      <c r="E216" s="342"/>
      <c r="F216" s="342">
        <f t="shared" si="8"/>
        <v>16</v>
      </c>
      <c r="G216" s="336">
        <v>30562.193196930999</v>
      </c>
      <c r="H216" s="336">
        <f t="shared" si="9"/>
        <v>488995.09115089598</v>
      </c>
      <c r="I216" s="336"/>
      <c r="J216" s="336">
        <f t="shared" si="10"/>
        <v>488995.09115089598</v>
      </c>
    </row>
    <row r="217" spans="1:10">
      <c r="A217" s="303">
        <v>171</v>
      </c>
      <c r="B217" s="309" t="s">
        <v>575</v>
      </c>
      <c r="C217" s="352" t="s">
        <v>574</v>
      </c>
      <c r="D217" s="355">
        <v>128</v>
      </c>
      <c r="E217" s="342"/>
      <c r="F217" s="342">
        <f t="shared" ref="F217:F280" si="11">D217</f>
        <v>128</v>
      </c>
      <c r="G217" s="336">
        <v>4473.0442997240007</v>
      </c>
      <c r="H217" s="336">
        <f t="shared" ref="H217:H269" si="12">D217*G217</f>
        <v>572549.67036467209</v>
      </c>
      <c r="I217" s="336"/>
      <c r="J217" s="336">
        <f t="shared" ref="J217:J269" si="13">F217*G217</f>
        <v>572549.67036467209</v>
      </c>
    </row>
    <row r="218" spans="1:10">
      <c r="A218" s="303">
        <v>172</v>
      </c>
      <c r="B218" s="309" t="s">
        <v>576</v>
      </c>
      <c r="C218" s="352" t="s">
        <v>577</v>
      </c>
      <c r="D218" s="355">
        <v>16</v>
      </c>
      <c r="E218" s="342"/>
      <c r="F218" s="342">
        <f t="shared" si="11"/>
        <v>16</v>
      </c>
      <c r="G218" s="336">
        <v>58659.612935484001</v>
      </c>
      <c r="H218" s="336">
        <f t="shared" si="12"/>
        <v>938553.80696774402</v>
      </c>
      <c r="I218" s="336"/>
      <c r="J218" s="336">
        <f t="shared" si="13"/>
        <v>938553.80696774402</v>
      </c>
    </row>
    <row r="219" spans="1:10">
      <c r="A219" s="303">
        <v>173</v>
      </c>
      <c r="B219" s="309" t="s">
        <v>361</v>
      </c>
      <c r="C219" s="352" t="s">
        <v>67</v>
      </c>
      <c r="D219" s="355">
        <v>0.17899999999999999</v>
      </c>
      <c r="E219" s="342"/>
      <c r="F219" s="342">
        <f t="shared" si="11"/>
        <v>0.17899999999999999</v>
      </c>
      <c r="G219" s="336">
        <v>4683274.2184133623</v>
      </c>
      <c r="H219" s="336">
        <f t="shared" si="12"/>
        <v>838306.08509599185</v>
      </c>
      <c r="I219" s="336"/>
      <c r="J219" s="336">
        <f t="shared" si="13"/>
        <v>838306.08509599185</v>
      </c>
    </row>
    <row r="220" spans="1:10">
      <c r="A220" s="311"/>
      <c r="B220" s="308" t="s">
        <v>578</v>
      </c>
      <c r="C220" s="352" t="s">
        <v>318</v>
      </c>
      <c r="D220" s="355">
        <v>0</v>
      </c>
      <c r="E220" s="342"/>
      <c r="F220" s="342">
        <f t="shared" si="11"/>
        <v>0</v>
      </c>
      <c r="G220" s="336">
        <v>0</v>
      </c>
      <c r="H220" s="336">
        <f t="shared" si="12"/>
        <v>0</v>
      </c>
      <c r="I220" s="336"/>
      <c r="J220" s="336">
        <f t="shared" si="13"/>
        <v>0</v>
      </c>
    </row>
    <row r="221" spans="1:10">
      <c r="A221" s="303">
        <v>174</v>
      </c>
      <c r="B221" s="309" t="s">
        <v>445</v>
      </c>
      <c r="C221" s="352" t="s">
        <v>579</v>
      </c>
      <c r="D221" s="355">
        <v>1E-3</v>
      </c>
      <c r="E221" s="342"/>
      <c r="F221" s="342">
        <f t="shared" si="11"/>
        <v>1E-3</v>
      </c>
      <c r="G221" s="336">
        <v>23642582.73910309</v>
      </c>
      <c r="H221" s="336">
        <f t="shared" si="12"/>
        <v>23642.582739103091</v>
      </c>
      <c r="I221" s="336"/>
      <c r="J221" s="336">
        <f t="shared" si="13"/>
        <v>23642.582739103091</v>
      </c>
    </row>
    <row r="222" spans="1:10">
      <c r="A222" s="303">
        <v>175</v>
      </c>
      <c r="B222" s="309" t="s">
        <v>272</v>
      </c>
      <c r="C222" s="352" t="s">
        <v>504</v>
      </c>
      <c r="D222" s="355">
        <v>2E-3</v>
      </c>
      <c r="E222" s="342"/>
      <c r="F222" s="342">
        <f t="shared" si="11"/>
        <v>2E-3</v>
      </c>
      <c r="G222" s="336">
        <v>28424880.916324392</v>
      </c>
      <c r="H222" s="336">
        <f t="shared" si="12"/>
        <v>56849.761832648786</v>
      </c>
      <c r="I222" s="336"/>
      <c r="J222" s="336">
        <f t="shared" si="13"/>
        <v>56849.761832648786</v>
      </c>
    </row>
    <row r="223" spans="1:10">
      <c r="A223" s="303">
        <v>176</v>
      </c>
      <c r="B223" s="309" t="s">
        <v>446</v>
      </c>
      <c r="C223" s="352" t="s">
        <v>574</v>
      </c>
      <c r="D223" s="355">
        <v>4</v>
      </c>
      <c r="E223" s="342"/>
      <c r="F223" s="342">
        <f t="shared" si="11"/>
        <v>4</v>
      </c>
      <c r="G223" s="336">
        <v>2433.3828200000003</v>
      </c>
      <c r="H223" s="336">
        <f t="shared" si="12"/>
        <v>9733.5312800000011</v>
      </c>
      <c r="I223" s="336"/>
      <c r="J223" s="336">
        <f t="shared" si="13"/>
        <v>9733.5312800000011</v>
      </c>
    </row>
    <row r="224" spans="1:10">
      <c r="A224" s="303">
        <v>177</v>
      </c>
      <c r="B224" s="309" t="s">
        <v>444</v>
      </c>
      <c r="C224" s="352" t="s">
        <v>331</v>
      </c>
      <c r="D224" s="355">
        <v>31.25</v>
      </c>
      <c r="E224" s="342"/>
      <c r="F224" s="342">
        <f t="shared" si="11"/>
        <v>31.25</v>
      </c>
      <c r="G224" s="336">
        <v>37265.432851184996</v>
      </c>
      <c r="H224" s="336">
        <f t="shared" si="12"/>
        <v>1164544.7765995311</v>
      </c>
      <c r="I224" s="336"/>
      <c r="J224" s="336">
        <f t="shared" si="13"/>
        <v>1164544.7765995311</v>
      </c>
    </row>
    <row r="225" spans="1:10">
      <c r="A225" s="303"/>
      <c r="B225" s="315" t="s">
        <v>451</v>
      </c>
      <c r="C225" s="352"/>
      <c r="D225" s="355">
        <v>0</v>
      </c>
      <c r="E225" s="342"/>
      <c r="F225" s="342">
        <f t="shared" si="11"/>
        <v>0</v>
      </c>
      <c r="G225" s="336">
        <v>0</v>
      </c>
      <c r="H225" s="336">
        <f t="shared" si="12"/>
        <v>0</v>
      </c>
      <c r="I225" s="336"/>
      <c r="J225" s="336">
        <f t="shared" si="13"/>
        <v>0</v>
      </c>
    </row>
    <row r="226" spans="1:10">
      <c r="A226" s="305">
        <v>178</v>
      </c>
      <c r="B226" s="309" t="s">
        <v>432</v>
      </c>
      <c r="C226" s="352" t="s">
        <v>509</v>
      </c>
      <c r="D226" s="355">
        <v>2</v>
      </c>
      <c r="E226" s="342"/>
      <c r="F226" s="342">
        <f t="shared" si="11"/>
        <v>2</v>
      </c>
      <c r="G226" s="336">
        <v>3716439.2713041548</v>
      </c>
      <c r="H226" s="336">
        <f t="shared" si="12"/>
        <v>7432878.5426083095</v>
      </c>
      <c r="I226" s="336"/>
      <c r="J226" s="336">
        <f t="shared" si="13"/>
        <v>7432878.5426083095</v>
      </c>
    </row>
    <row r="227" spans="1:10">
      <c r="A227" s="305">
        <v>179</v>
      </c>
      <c r="B227" s="309" t="s">
        <v>433</v>
      </c>
      <c r="C227" s="352" t="s">
        <v>90</v>
      </c>
      <c r="D227" s="355">
        <v>100</v>
      </c>
      <c r="E227" s="342"/>
      <c r="F227" s="342">
        <f t="shared" si="11"/>
        <v>100</v>
      </c>
      <c r="G227" s="336">
        <v>8516.8398699999998</v>
      </c>
      <c r="H227" s="336">
        <f t="shared" si="12"/>
        <v>851683.98699999996</v>
      </c>
      <c r="I227" s="336"/>
      <c r="J227" s="336">
        <f t="shared" si="13"/>
        <v>851683.98699999996</v>
      </c>
    </row>
    <row r="228" spans="1:10">
      <c r="A228" s="305">
        <v>180</v>
      </c>
      <c r="B228" s="309" t="s">
        <v>434</v>
      </c>
      <c r="C228" s="352" t="s">
        <v>509</v>
      </c>
      <c r="D228" s="355">
        <v>2</v>
      </c>
      <c r="E228" s="342"/>
      <c r="F228" s="342">
        <f t="shared" si="11"/>
        <v>2</v>
      </c>
      <c r="G228" s="336">
        <v>1196980.644150577</v>
      </c>
      <c r="H228" s="336">
        <f t="shared" si="12"/>
        <v>2393961.288301154</v>
      </c>
      <c r="I228" s="336"/>
      <c r="J228" s="336">
        <f t="shared" si="13"/>
        <v>2393961.288301154</v>
      </c>
    </row>
    <row r="229" spans="1:10">
      <c r="A229" s="305">
        <v>181</v>
      </c>
      <c r="B229" s="309" t="s">
        <v>435</v>
      </c>
      <c r="C229" s="352" t="s">
        <v>509</v>
      </c>
      <c r="D229" s="355">
        <v>2</v>
      </c>
      <c r="E229" s="342"/>
      <c r="F229" s="342">
        <f t="shared" si="11"/>
        <v>2</v>
      </c>
      <c r="G229" s="336">
        <v>2188031.1570547321</v>
      </c>
      <c r="H229" s="336">
        <f t="shared" si="12"/>
        <v>4376062.3141094642</v>
      </c>
      <c r="I229" s="336"/>
      <c r="J229" s="336">
        <f t="shared" si="13"/>
        <v>4376062.3141094642</v>
      </c>
    </row>
    <row r="230" spans="1:10">
      <c r="A230" s="305">
        <v>182</v>
      </c>
      <c r="B230" s="309" t="s">
        <v>436</v>
      </c>
      <c r="C230" s="352" t="s">
        <v>509</v>
      </c>
      <c r="D230" s="355">
        <v>1</v>
      </c>
      <c r="E230" s="342"/>
      <c r="F230" s="342">
        <f t="shared" si="11"/>
        <v>1</v>
      </c>
      <c r="G230" s="336">
        <v>1303164.7102372251</v>
      </c>
      <c r="H230" s="336">
        <f t="shared" si="12"/>
        <v>1303164.7102372251</v>
      </c>
      <c r="I230" s="336"/>
      <c r="J230" s="336">
        <f t="shared" si="13"/>
        <v>1303164.7102372251</v>
      </c>
    </row>
    <row r="231" spans="1:10">
      <c r="A231" s="305">
        <v>183</v>
      </c>
      <c r="B231" s="309" t="s">
        <v>437</v>
      </c>
      <c r="C231" s="352" t="s">
        <v>323</v>
      </c>
      <c r="D231" s="355">
        <v>0.4</v>
      </c>
      <c r="E231" s="342"/>
      <c r="F231" s="342">
        <f t="shared" si="11"/>
        <v>0.4</v>
      </c>
      <c r="G231" s="336">
        <v>1760696.5265329438</v>
      </c>
      <c r="H231" s="336">
        <f t="shared" si="12"/>
        <v>704278.61061317753</v>
      </c>
      <c r="I231" s="336"/>
      <c r="J231" s="336">
        <f t="shared" si="13"/>
        <v>704278.61061317753</v>
      </c>
    </row>
    <row r="232" spans="1:10">
      <c r="A232" s="311"/>
      <c r="B232" s="312" t="s">
        <v>580</v>
      </c>
      <c r="C232" s="352"/>
      <c r="D232" s="340"/>
      <c r="E232" s="342"/>
      <c r="F232" s="342">
        <f t="shared" si="11"/>
        <v>0</v>
      </c>
      <c r="G232" s="336"/>
      <c r="H232" s="336">
        <f t="shared" si="12"/>
        <v>0</v>
      </c>
      <c r="I232" s="336"/>
      <c r="J232" s="336">
        <f t="shared" si="13"/>
        <v>0</v>
      </c>
    </row>
    <row r="233" spans="1:10" ht="33">
      <c r="A233" s="305">
        <v>184</v>
      </c>
      <c r="B233" s="309" t="s">
        <v>439</v>
      </c>
      <c r="C233" s="352" t="s">
        <v>323</v>
      </c>
      <c r="D233" s="355">
        <v>37.200000000000003</v>
      </c>
      <c r="E233" s="342"/>
      <c r="F233" s="342">
        <f t="shared" si="11"/>
        <v>37.200000000000003</v>
      </c>
      <c r="G233" s="336">
        <v>1925346.7504041949</v>
      </c>
      <c r="H233" s="336">
        <f t="shared" si="12"/>
        <v>71622899.115036055</v>
      </c>
      <c r="I233" s="336"/>
      <c r="J233" s="336">
        <f t="shared" si="13"/>
        <v>71622899.115036055</v>
      </c>
    </row>
    <row r="234" spans="1:10" ht="33">
      <c r="A234" s="305">
        <v>185</v>
      </c>
      <c r="B234" s="309" t="s">
        <v>397</v>
      </c>
      <c r="C234" s="352" t="s">
        <v>323</v>
      </c>
      <c r="D234" s="355">
        <v>4.5599999999999996</v>
      </c>
      <c r="E234" s="342"/>
      <c r="F234" s="342">
        <f t="shared" si="11"/>
        <v>4.5599999999999996</v>
      </c>
      <c r="G234" s="336">
        <v>2426266.6352811917</v>
      </c>
      <c r="H234" s="336">
        <f t="shared" si="12"/>
        <v>11063775.856882233</v>
      </c>
      <c r="I234" s="336"/>
      <c r="J234" s="336">
        <f t="shared" si="13"/>
        <v>11063775.856882233</v>
      </c>
    </row>
    <row r="235" spans="1:10">
      <c r="A235" s="305">
        <v>186</v>
      </c>
      <c r="B235" s="309" t="s">
        <v>388</v>
      </c>
      <c r="C235" s="352" t="s">
        <v>326</v>
      </c>
      <c r="D235" s="355">
        <v>42.804000000000002</v>
      </c>
      <c r="E235" s="342"/>
      <c r="F235" s="342">
        <f t="shared" si="11"/>
        <v>42.804000000000002</v>
      </c>
      <c r="G235" s="336">
        <v>30806.869839482002</v>
      </c>
      <c r="H235" s="336">
        <f t="shared" si="12"/>
        <v>1318657.2566091877</v>
      </c>
      <c r="I235" s="336"/>
      <c r="J235" s="336">
        <f t="shared" si="13"/>
        <v>1318657.2566091877</v>
      </c>
    </row>
    <row r="236" spans="1:10">
      <c r="A236" s="305">
        <v>187</v>
      </c>
      <c r="B236" s="309" t="s">
        <v>353</v>
      </c>
      <c r="C236" s="352" t="s">
        <v>325</v>
      </c>
      <c r="D236" s="355">
        <v>1.86</v>
      </c>
      <c r="E236" s="342"/>
      <c r="F236" s="342">
        <f t="shared" si="11"/>
        <v>1.86</v>
      </c>
      <c r="G236" s="336">
        <v>636406.25898883003</v>
      </c>
      <c r="H236" s="336">
        <f t="shared" si="12"/>
        <v>1183715.6417192239</v>
      </c>
      <c r="I236" s="336"/>
      <c r="J236" s="336">
        <f t="shared" si="13"/>
        <v>1183715.6417192239</v>
      </c>
    </row>
    <row r="237" spans="1:10">
      <c r="A237" s="305">
        <v>188</v>
      </c>
      <c r="B237" s="307" t="s">
        <v>402</v>
      </c>
      <c r="C237" s="352" t="s">
        <v>331</v>
      </c>
      <c r="D237" s="355">
        <v>124</v>
      </c>
      <c r="E237" s="342"/>
      <c r="F237" s="342">
        <f t="shared" si="11"/>
        <v>124</v>
      </c>
      <c r="G237" s="336">
        <v>61715.820088263004</v>
      </c>
      <c r="H237" s="336">
        <f t="shared" si="12"/>
        <v>7652761.690944613</v>
      </c>
      <c r="I237" s="336"/>
      <c r="J237" s="336">
        <f t="shared" si="13"/>
        <v>7652761.690944613</v>
      </c>
    </row>
    <row r="238" spans="1:10">
      <c r="A238" s="305">
        <v>189</v>
      </c>
      <c r="B238" s="307" t="s">
        <v>389</v>
      </c>
      <c r="C238" s="352" t="s">
        <v>328</v>
      </c>
      <c r="D238" s="355">
        <v>1.2</v>
      </c>
      <c r="E238" s="342"/>
      <c r="F238" s="342">
        <f t="shared" si="11"/>
        <v>1.2</v>
      </c>
      <c r="G238" s="336">
        <v>1453528.4231198058</v>
      </c>
      <c r="H238" s="336">
        <f t="shared" si="12"/>
        <v>1744234.1077437669</v>
      </c>
      <c r="I238" s="336"/>
      <c r="J238" s="336">
        <f t="shared" si="13"/>
        <v>1744234.1077437669</v>
      </c>
    </row>
    <row r="239" spans="1:10">
      <c r="A239" s="305">
        <v>190</v>
      </c>
      <c r="B239" s="309" t="s">
        <v>412</v>
      </c>
      <c r="C239" s="352" t="s">
        <v>504</v>
      </c>
      <c r="D239" s="355">
        <v>2.1</v>
      </c>
      <c r="E239" s="342"/>
      <c r="F239" s="342">
        <f t="shared" si="11"/>
        <v>2.1</v>
      </c>
      <c r="G239" s="336">
        <v>22970498.221207418</v>
      </c>
      <c r="H239" s="336">
        <f t="shared" si="12"/>
        <v>48238046.264535576</v>
      </c>
      <c r="I239" s="336"/>
      <c r="J239" s="336">
        <f t="shared" si="13"/>
        <v>48238046.264535576</v>
      </c>
    </row>
    <row r="240" spans="1:10">
      <c r="A240" s="305">
        <v>191</v>
      </c>
      <c r="B240" s="307" t="s">
        <v>350</v>
      </c>
      <c r="C240" s="352" t="s">
        <v>581</v>
      </c>
      <c r="D240" s="355">
        <v>54</v>
      </c>
      <c r="E240" s="342"/>
      <c r="F240" s="342">
        <f t="shared" si="11"/>
        <v>54</v>
      </c>
      <c r="G240" s="336">
        <v>3940155.8492659442</v>
      </c>
      <c r="H240" s="336">
        <f t="shared" si="12"/>
        <v>212768415.86036098</v>
      </c>
      <c r="I240" s="336"/>
      <c r="J240" s="336">
        <f t="shared" si="13"/>
        <v>212768415.86036098</v>
      </c>
    </row>
    <row r="241" spans="1:10">
      <c r="A241" s="305">
        <v>192</v>
      </c>
      <c r="B241" s="307" t="s">
        <v>442</v>
      </c>
      <c r="C241" s="352" t="s">
        <v>325</v>
      </c>
      <c r="D241" s="355">
        <v>7.72</v>
      </c>
      <c r="E241" s="342"/>
      <c r="F241" s="342">
        <f t="shared" si="11"/>
        <v>7.72</v>
      </c>
      <c r="G241" s="336">
        <v>3098548.0138470004</v>
      </c>
      <c r="H241" s="336">
        <f t="shared" si="12"/>
        <v>23920790.666898843</v>
      </c>
      <c r="I241" s="336"/>
      <c r="J241" s="336">
        <f t="shared" si="13"/>
        <v>23920790.666898843</v>
      </c>
    </row>
    <row r="242" spans="1:10">
      <c r="A242" s="305">
        <v>193</v>
      </c>
      <c r="B242" s="307" t="s">
        <v>348</v>
      </c>
      <c r="C242" s="352" t="s">
        <v>322</v>
      </c>
      <c r="D242" s="355">
        <v>0.124</v>
      </c>
      <c r="E242" s="342"/>
      <c r="F242" s="342">
        <f t="shared" si="11"/>
        <v>0.124</v>
      </c>
      <c r="G242" s="336">
        <v>81099718.991999239</v>
      </c>
      <c r="H242" s="336">
        <f t="shared" si="12"/>
        <v>10056365.155007906</v>
      </c>
      <c r="I242" s="336"/>
      <c r="J242" s="336">
        <f t="shared" si="13"/>
        <v>10056365.155007906</v>
      </c>
    </row>
    <row r="243" spans="1:10">
      <c r="A243" s="305">
        <v>194</v>
      </c>
      <c r="B243" s="309" t="s">
        <v>399</v>
      </c>
      <c r="C243" s="352" t="s">
        <v>323</v>
      </c>
      <c r="D243" s="355">
        <v>3.83</v>
      </c>
      <c r="E243" s="342"/>
      <c r="F243" s="342">
        <f t="shared" si="11"/>
        <v>3.83</v>
      </c>
      <c r="G243" s="336">
        <v>1179580.4969578851</v>
      </c>
      <c r="H243" s="336">
        <f t="shared" si="12"/>
        <v>4517793.3033486996</v>
      </c>
      <c r="I243" s="336"/>
      <c r="J243" s="336">
        <f t="shared" si="13"/>
        <v>4517793.3033486996</v>
      </c>
    </row>
    <row r="244" spans="1:10">
      <c r="A244" s="305">
        <v>195</v>
      </c>
      <c r="B244" s="309" t="s">
        <v>408</v>
      </c>
      <c r="C244" s="352" t="s">
        <v>106</v>
      </c>
      <c r="D244" s="355">
        <v>0.17</v>
      </c>
      <c r="E244" s="342"/>
      <c r="F244" s="342">
        <f t="shared" si="11"/>
        <v>0.17</v>
      </c>
      <c r="G244" s="336">
        <v>3027931.0010723178</v>
      </c>
      <c r="H244" s="336">
        <f t="shared" si="12"/>
        <v>514748.27018229407</v>
      </c>
      <c r="I244" s="336"/>
      <c r="J244" s="336">
        <f t="shared" si="13"/>
        <v>514748.27018229407</v>
      </c>
    </row>
    <row r="245" spans="1:10">
      <c r="A245" s="305">
        <v>196</v>
      </c>
      <c r="B245" s="309" t="s">
        <v>443</v>
      </c>
      <c r="C245" s="352" t="s">
        <v>67</v>
      </c>
      <c r="D245" s="355">
        <v>0.55800000000000005</v>
      </c>
      <c r="E245" s="342"/>
      <c r="F245" s="342">
        <f t="shared" si="11"/>
        <v>0.55800000000000005</v>
      </c>
      <c r="G245" s="336">
        <v>4424154.5971416747</v>
      </c>
      <c r="H245" s="336">
        <f t="shared" si="12"/>
        <v>2468678.2652050545</v>
      </c>
      <c r="I245" s="336"/>
      <c r="J245" s="336">
        <f t="shared" si="13"/>
        <v>2468678.2652050545</v>
      </c>
    </row>
    <row r="246" spans="1:10">
      <c r="A246" s="305">
        <v>197</v>
      </c>
      <c r="B246" s="309" t="s">
        <v>582</v>
      </c>
      <c r="C246" s="352" t="s">
        <v>67</v>
      </c>
      <c r="D246" s="355">
        <v>0.251</v>
      </c>
      <c r="E246" s="342"/>
      <c r="F246" s="342">
        <f t="shared" si="11"/>
        <v>0.251</v>
      </c>
      <c r="G246" s="336">
        <v>9177962.8499755561</v>
      </c>
      <c r="H246" s="336">
        <f t="shared" si="12"/>
        <v>2303668.6753438646</v>
      </c>
      <c r="I246" s="336"/>
      <c r="J246" s="336">
        <f t="shared" si="13"/>
        <v>2303668.6753438646</v>
      </c>
    </row>
    <row r="247" spans="1:10">
      <c r="A247" s="354"/>
      <c r="B247" s="316" t="s">
        <v>583</v>
      </c>
      <c r="C247" s="352"/>
      <c r="D247" s="340"/>
      <c r="E247" s="342"/>
      <c r="F247" s="342">
        <f t="shared" si="11"/>
        <v>0</v>
      </c>
      <c r="G247" s="336"/>
      <c r="H247" s="336">
        <f t="shared" si="12"/>
        <v>0</v>
      </c>
      <c r="I247" s="336"/>
      <c r="J247" s="336">
        <f t="shared" si="13"/>
        <v>0</v>
      </c>
    </row>
    <row r="248" spans="1:10">
      <c r="A248" s="354"/>
      <c r="B248" s="316" t="s">
        <v>584</v>
      </c>
      <c r="C248" s="352"/>
      <c r="D248" s="340"/>
      <c r="E248" s="342"/>
      <c r="F248" s="342">
        <f t="shared" si="11"/>
        <v>0</v>
      </c>
      <c r="G248" s="336"/>
      <c r="H248" s="336">
        <f t="shared" si="12"/>
        <v>0</v>
      </c>
      <c r="I248" s="336"/>
      <c r="J248" s="336">
        <f t="shared" si="13"/>
        <v>0</v>
      </c>
    </row>
    <row r="249" spans="1:10">
      <c r="A249" s="305">
        <v>198</v>
      </c>
      <c r="B249" s="366" t="s">
        <v>585</v>
      </c>
      <c r="C249" s="317" t="s">
        <v>335</v>
      </c>
      <c r="D249" s="365">
        <v>1</v>
      </c>
      <c r="E249" s="342"/>
      <c r="F249" s="342">
        <f t="shared" si="11"/>
        <v>1</v>
      </c>
      <c r="G249" s="336">
        <v>294224988.72432816</v>
      </c>
      <c r="H249" s="336">
        <f t="shared" si="12"/>
        <v>294224988.72432816</v>
      </c>
      <c r="I249" s="336"/>
      <c r="J249" s="336">
        <f t="shared" si="13"/>
        <v>294224988.72432816</v>
      </c>
    </row>
    <row r="250" spans="1:10">
      <c r="A250" s="305">
        <v>199</v>
      </c>
      <c r="B250" s="366" t="s">
        <v>338</v>
      </c>
      <c r="C250" s="317" t="s">
        <v>335</v>
      </c>
      <c r="D250" s="365">
        <v>1</v>
      </c>
      <c r="E250" s="342"/>
      <c r="F250" s="342">
        <f t="shared" si="11"/>
        <v>1</v>
      </c>
      <c r="G250" s="336">
        <v>138841373.40755224</v>
      </c>
      <c r="H250" s="336">
        <f t="shared" si="12"/>
        <v>138841373.40755224</v>
      </c>
      <c r="I250" s="336"/>
      <c r="J250" s="336">
        <f t="shared" si="13"/>
        <v>138841373.40755224</v>
      </c>
    </row>
    <row r="251" spans="1:10">
      <c r="A251" s="305">
        <v>200</v>
      </c>
      <c r="B251" s="366" t="s">
        <v>339</v>
      </c>
      <c r="C251" s="317" t="s">
        <v>335</v>
      </c>
      <c r="D251" s="365">
        <v>1</v>
      </c>
      <c r="E251" s="342"/>
      <c r="F251" s="342">
        <f t="shared" si="11"/>
        <v>1</v>
      </c>
      <c r="G251" s="336">
        <v>42920113.660825409</v>
      </c>
      <c r="H251" s="336">
        <f t="shared" si="12"/>
        <v>42920113.660825409</v>
      </c>
      <c r="I251" s="336"/>
      <c r="J251" s="336">
        <f t="shared" si="13"/>
        <v>42920113.660825409</v>
      </c>
    </row>
    <row r="252" spans="1:10">
      <c r="A252" s="305">
        <v>201</v>
      </c>
      <c r="B252" s="366" t="s">
        <v>336</v>
      </c>
      <c r="C252" s="317" t="s">
        <v>335</v>
      </c>
      <c r="D252" s="365">
        <v>1</v>
      </c>
      <c r="E252" s="342"/>
      <c r="F252" s="342">
        <f t="shared" si="11"/>
        <v>1</v>
      </c>
      <c r="G252" s="336">
        <v>11132218.726338301</v>
      </c>
      <c r="H252" s="336">
        <f t="shared" si="12"/>
        <v>11132218.726338301</v>
      </c>
      <c r="I252" s="336"/>
      <c r="J252" s="336">
        <f t="shared" si="13"/>
        <v>11132218.726338301</v>
      </c>
    </row>
    <row r="253" spans="1:10">
      <c r="A253" s="305">
        <v>202</v>
      </c>
      <c r="B253" s="366" t="s">
        <v>340</v>
      </c>
      <c r="C253" s="317" t="s">
        <v>335</v>
      </c>
      <c r="D253" s="365">
        <v>1</v>
      </c>
      <c r="E253" s="342"/>
      <c r="F253" s="342">
        <f t="shared" si="11"/>
        <v>1</v>
      </c>
      <c r="G253" s="336">
        <v>3786165.5895592449</v>
      </c>
      <c r="H253" s="336">
        <f t="shared" si="12"/>
        <v>3786165.5895592449</v>
      </c>
      <c r="I253" s="336"/>
      <c r="J253" s="336">
        <f t="shared" si="13"/>
        <v>3786165.5895592449</v>
      </c>
    </row>
    <row r="254" spans="1:10">
      <c r="A254" s="305">
        <v>203</v>
      </c>
      <c r="B254" s="366" t="s">
        <v>586</v>
      </c>
      <c r="C254" s="317" t="s">
        <v>335</v>
      </c>
      <c r="D254" s="365">
        <v>2</v>
      </c>
      <c r="E254" s="342"/>
      <c r="F254" s="342">
        <f t="shared" si="11"/>
        <v>2</v>
      </c>
      <c r="G254" s="336">
        <v>3669379.502345569</v>
      </c>
      <c r="H254" s="336">
        <f t="shared" si="12"/>
        <v>7338759.0046911379</v>
      </c>
      <c r="I254" s="336"/>
      <c r="J254" s="336">
        <f t="shared" si="13"/>
        <v>7338759.0046911379</v>
      </c>
    </row>
    <row r="255" spans="1:10">
      <c r="A255" s="305">
        <v>204</v>
      </c>
      <c r="B255" s="366" t="s">
        <v>587</v>
      </c>
      <c r="C255" s="317" t="s">
        <v>335</v>
      </c>
      <c r="D255" s="365">
        <v>1</v>
      </c>
      <c r="E255" s="342"/>
      <c r="F255" s="342">
        <f t="shared" si="11"/>
        <v>1</v>
      </c>
      <c r="G255" s="336">
        <v>7117370.6599739809</v>
      </c>
      <c r="H255" s="336">
        <f t="shared" si="12"/>
        <v>7117370.6599739809</v>
      </c>
      <c r="I255" s="336"/>
      <c r="J255" s="336">
        <f t="shared" si="13"/>
        <v>7117370.6599739809</v>
      </c>
    </row>
    <row r="256" spans="1:10">
      <c r="A256" s="305">
        <v>205</v>
      </c>
      <c r="B256" s="318" t="s">
        <v>588</v>
      </c>
      <c r="C256" s="317" t="s">
        <v>335</v>
      </c>
      <c r="D256" s="365">
        <v>1</v>
      </c>
      <c r="E256" s="342"/>
      <c r="F256" s="342">
        <f t="shared" si="11"/>
        <v>1</v>
      </c>
      <c r="G256" s="336">
        <v>52380585.805275187</v>
      </c>
      <c r="H256" s="336">
        <f t="shared" si="12"/>
        <v>52380585.805275187</v>
      </c>
      <c r="I256" s="336"/>
      <c r="J256" s="336">
        <f t="shared" si="13"/>
        <v>52380585.805275187</v>
      </c>
    </row>
    <row r="257" spans="1:10">
      <c r="A257" s="305">
        <v>206</v>
      </c>
      <c r="B257" s="318" t="s">
        <v>589</v>
      </c>
      <c r="C257" s="317" t="s">
        <v>335</v>
      </c>
      <c r="D257" s="365">
        <v>1</v>
      </c>
      <c r="E257" s="342"/>
      <c r="F257" s="342">
        <f t="shared" si="11"/>
        <v>1</v>
      </c>
      <c r="G257" s="336">
        <v>39429594.675962582</v>
      </c>
      <c r="H257" s="336">
        <f t="shared" si="12"/>
        <v>39429594.675962582</v>
      </c>
      <c r="I257" s="336"/>
      <c r="J257" s="336">
        <f t="shared" si="13"/>
        <v>39429594.675962582</v>
      </c>
    </row>
    <row r="258" spans="1:10">
      <c r="A258" s="305">
        <v>207</v>
      </c>
      <c r="B258" s="319" t="s">
        <v>590</v>
      </c>
      <c r="C258" s="320" t="s">
        <v>591</v>
      </c>
      <c r="D258" s="320">
        <v>1</v>
      </c>
      <c r="E258" s="342"/>
      <c r="F258" s="342">
        <f t="shared" si="11"/>
        <v>1</v>
      </c>
      <c r="G258" s="336">
        <v>2354762.4706340549</v>
      </c>
      <c r="H258" s="336">
        <f t="shared" si="12"/>
        <v>2354762.4706340549</v>
      </c>
      <c r="I258" s="336"/>
      <c r="J258" s="336">
        <f t="shared" si="13"/>
        <v>2354762.4706340549</v>
      </c>
    </row>
    <row r="259" spans="1:10">
      <c r="A259" s="354"/>
      <c r="B259" s="321" t="s">
        <v>592</v>
      </c>
      <c r="C259" s="352"/>
      <c r="D259" s="340"/>
      <c r="E259" s="342"/>
      <c r="F259" s="342">
        <f t="shared" si="11"/>
        <v>0</v>
      </c>
      <c r="G259" s="336"/>
      <c r="H259" s="336">
        <f t="shared" si="12"/>
        <v>0</v>
      </c>
      <c r="I259" s="336"/>
      <c r="J259" s="336">
        <f t="shared" si="13"/>
        <v>0</v>
      </c>
    </row>
    <row r="260" spans="1:10">
      <c r="A260" s="305">
        <v>208</v>
      </c>
      <c r="B260" s="367" t="s">
        <v>593</v>
      </c>
      <c r="C260" s="352"/>
      <c r="D260" s="340"/>
      <c r="E260" s="342"/>
      <c r="F260" s="342">
        <f t="shared" si="11"/>
        <v>0</v>
      </c>
      <c r="G260" s="336"/>
      <c r="H260" s="336">
        <f t="shared" si="12"/>
        <v>0</v>
      </c>
      <c r="I260" s="336"/>
      <c r="J260" s="336">
        <f t="shared" si="13"/>
        <v>0</v>
      </c>
    </row>
    <row r="261" spans="1:10">
      <c r="A261" s="305">
        <v>209</v>
      </c>
      <c r="B261" s="366" t="s">
        <v>585</v>
      </c>
      <c r="C261" s="317" t="s">
        <v>335</v>
      </c>
      <c r="D261" s="365">
        <v>1</v>
      </c>
      <c r="E261" s="342"/>
      <c r="F261" s="342">
        <f t="shared" si="11"/>
        <v>1</v>
      </c>
      <c r="G261" s="336">
        <v>17512641.58249826</v>
      </c>
      <c r="H261" s="336">
        <f t="shared" si="12"/>
        <v>17512641.58249826</v>
      </c>
      <c r="I261" s="336"/>
      <c r="J261" s="336">
        <f t="shared" si="13"/>
        <v>17512641.58249826</v>
      </c>
    </row>
    <row r="262" spans="1:10">
      <c r="A262" s="305">
        <v>210</v>
      </c>
      <c r="B262" s="366" t="s">
        <v>338</v>
      </c>
      <c r="C262" s="317" t="s">
        <v>335</v>
      </c>
      <c r="D262" s="365">
        <v>1</v>
      </c>
      <c r="E262" s="342"/>
      <c r="F262" s="342">
        <f t="shared" si="11"/>
        <v>1</v>
      </c>
      <c r="G262" s="336">
        <v>7955513.2089673672</v>
      </c>
      <c r="H262" s="336">
        <f t="shared" si="12"/>
        <v>7955513.2089673672</v>
      </c>
      <c r="I262" s="336"/>
      <c r="J262" s="336">
        <f t="shared" si="13"/>
        <v>7955513.2089673672</v>
      </c>
    </row>
    <row r="263" spans="1:10">
      <c r="A263" s="305">
        <v>211</v>
      </c>
      <c r="B263" s="366" t="s">
        <v>339</v>
      </c>
      <c r="C263" s="317" t="s">
        <v>335</v>
      </c>
      <c r="D263" s="365">
        <v>1</v>
      </c>
      <c r="E263" s="342"/>
      <c r="F263" s="342">
        <f t="shared" si="11"/>
        <v>1</v>
      </c>
      <c r="G263" s="336">
        <v>2529468.2648451915</v>
      </c>
      <c r="H263" s="336">
        <f t="shared" si="12"/>
        <v>2529468.2648451915</v>
      </c>
      <c r="I263" s="336"/>
      <c r="J263" s="336">
        <f t="shared" si="13"/>
        <v>2529468.2648451915</v>
      </c>
    </row>
    <row r="264" spans="1:10">
      <c r="A264" s="305">
        <v>212</v>
      </c>
      <c r="B264" s="366" t="s">
        <v>336</v>
      </c>
      <c r="C264" s="317" t="s">
        <v>335</v>
      </c>
      <c r="D264" s="365">
        <v>1</v>
      </c>
      <c r="E264" s="342"/>
      <c r="F264" s="342">
        <f t="shared" si="11"/>
        <v>1</v>
      </c>
      <c r="G264" s="336">
        <v>600187.10264758265</v>
      </c>
      <c r="H264" s="336">
        <f t="shared" si="12"/>
        <v>600187.10264758265</v>
      </c>
      <c r="I264" s="336"/>
      <c r="J264" s="336">
        <f t="shared" si="13"/>
        <v>600187.10264758265</v>
      </c>
    </row>
    <row r="265" spans="1:10">
      <c r="A265" s="305">
        <v>213</v>
      </c>
      <c r="B265" s="366" t="s">
        <v>340</v>
      </c>
      <c r="C265" s="317" t="s">
        <v>335</v>
      </c>
      <c r="D265" s="365">
        <v>1</v>
      </c>
      <c r="E265" s="342"/>
      <c r="F265" s="342">
        <f t="shared" si="11"/>
        <v>1</v>
      </c>
      <c r="G265" s="336">
        <v>175113.4134783535</v>
      </c>
      <c r="H265" s="336">
        <f t="shared" si="12"/>
        <v>175113.4134783535</v>
      </c>
      <c r="I265" s="336"/>
      <c r="J265" s="336">
        <f t="shared" si="13"/>
        <v>175113.4134783535</v>
      </c>
    </row>
    <row r="266" spans="1:10">
      <c r="A266" s="305">
        <v>214</v>
      </c>
      <c r="B266" s="366" t="s">
        <v>586</v>
      </c>
      <c r="C266" s="317" t="s">
        <v>335</v>
      </c>
      <c r="D266" s="365">
        <v>2</v>
      </c>
      <c r="E266" s="342"/>
      <c r="F266" s="342">
        <f t="shared" si="11"/>
        <v>2</v>
      </c>
      <c r="G266" s="336">
        <v>213818.82164059061</v>
      </c>
      <c r="H266" s="336">
        <f t="shared" si="12"/>
        <v>427637.64328118123</v>
      </c>
      <c r="I266" s="336"/>
      <c r="J266" s="336">
        <f t="shared" si="13"/>
        <v>427637.64328118123</v>
      </c>
    </row>
    <row r="267" spans="1:10">
      <c r="A267" s="305">
        <v>215</v>
      </c>
      <c r="B267" s="366" t="s">
        <v>587</v>
      </c>
      <c r="C267" s="317" t="s">
        <v>335</v>
      </c>
      <c r="D267" s="365">
        <v>1</v>
      </c>
      <c r="E267" s="342"/>
      <c r="F267" s="342">
        <f t="shared" si="11"/>
        <v>1</v>
      </c>
      <c r="G267" s="336">
        <v>422269.57619002345</v>
      </c>
      <c r="H267" s="336">
        <f t="shared" si="12"/>
        <v>422269.57619002345</v>
      </c>
      <c r="I267" s="336"/>
      <c r="J267" s="336">
        <f t="shared" si="13"/>
        <v>422269.57619002345</v>
      </c>
    </row>
    <row r="268" spans="1:10">
      <c r="A268" s="305">
        <v>216</v>
      </c>
      <c r="B268" s="366" t="s">
        <v>588</v>
      </c>
      <c r="C268" s="317" t="s">
        <v>335</v>
      </c>
      <c r="D268" s="365">
        <v>1</v>
      </c>
      <c r="E268" s="342"/>
      <c r="F268" s="342">
        <f t="shared" si="11"/>
        <v>1</v>
      </c>
      <c r="G268" s="336">
        <v>4728144.7400565194</v>
      </c>
      <c r="H268" s="336">
        <f t="shared" si="12"/>
        <v>4728144.7400565194</v>
      </c>
      <c r="I268" s="336"/>
      <c r="J268" s="336">
        <f t="shared" si="13"/>
        <v>4728144.7400565194</v>
      </c>
    </row>
    <row r="269" spans="1:10">
      <c r="A269" s="305">
        <v>217</v>
      </c>
      <c r="B269" s="366" t="s">
        <v>589</v>
      </c>
      <c r="C269" s="317" t="s">
        <v>335</v>
      </c>
      <c r="D269" s="365">
        <v>1</v>
      </c>
      <c r="E269" s="342"/>
      <c r="F269" s="342">
        <f t="shared" si="11"/>
        <v>1</v>
      </c>
      <c r="G269" s="336">
        <v>3608292.4694342008</v>
      </c>
      <c r="H269" s="336">
        <f t="shared" si="12"/>
        <v>3608292.4694342008</v>
      </c>
      <c r="I269" s="336"/>
      <c r="J269" s="336">
        <f t="shared" si="13"/>
        <v>3608292.4694342008</v>
      </c>
    </row>
    <row r="270" spans="1:10" ht="29.25" customHeight="1">
      <c r="A270" s="303"/>
      <c r="B270" s="304" t="s">
        <v>594</v>
      </c>
      <c r="C270" s="352"/>
      <c r="D270" s="340"/>
      <c r="E270" s="342"/>
      <c r="F270" s="342">
        <f t="shared" si="11"/>
        <v>0</v>
      </c>
      <c r="G270" s="336"/>
      <c r="H270" s="338">
        <f>SUM(H272:H526)</f>
        <v>5011005546.5738878</v>
      </c>
      <c r="I270" s="336"/>
      <c r="J270" s="338">
        <f>SUM(J272:J526)</f>
        <v>5011005546.5738878</v>
      </c>
    </row>
    <row r="271" spans="1:10">
      <c r="A271" s="310"/>
      <c r="B271" s="312" t="s">
        <v>496</v>
      </c>
      <c r="C271" s="352"/>
      <c r="D271" s="340"/>
      <c r="E271" s="342"/>
      <c r="F271" s="342">
        <f t="shared" si="11"/>
        <v>0</v>
      </c>
      <c r="G271" s="336"/>
      <c r="H271" s="336">
        <f t="shared" ref="H271:H334" si="14">D271*G271</f>
        <v>0</v>
      </c>
      <c r="I271" s="336"/>
      <c r="J271" s="336">
        <f t="shared" ref="J271:J334" si="15">F271*G271</f>
        <v>0</v>
      </c>
    </row>
    <row r="272" spans="1:10">
      <c r="A272" s="305">
        <v>1</v>
      </c>
      <c r="B272" s="307" t="s">
        <v>342</v>
      </c>
      <c r="C272" s="370" t="s">
        <v>319</v>
      </c>
      <c r="D272" s="355">
        <v>11.1</v>
      </c>
      <c r="E272" s="342"/>
      <c r="F272" s="342">
        <f t="shared" si="11"/>
        <v>11.1</v>
      </c>
      <c r="G272" s="336">
        <v>209980.13194288901</v>
      </c>
      <c r="H272" s="336">
        <f t="shared" si="14"/>
        <v>2330779.4645660678</v>
      </c>
      <c r="I272" s="336"/>
      <c r="J272" s="336">
        <f t="shared" si="15"/>
        <v>2330779.4645660678</v>
      </c>
    </row>
    <row r="273" spans="1:10">
      <c r="A273" s="305">
        <v>2</v>
      </c>
      <c r="B273" s="307" t="s">
        <v>343</v>
      </c>
      <c r="C273" s="370" t="s">
        <v>498</v>
      </c>
      <c r="D273" s="355">
        <v>44</v>
      </c>
      <c r="E273" s="342"/>
      <c r="F273" s="342">
        <f t="shared" si="11"/>
        <v>44</v>
      </c>
      <c r="G273" s="336">
        <v>50385.868009201993</v>
      </c>
      <c r="H273" s="336">
        <f t="shared" si="14"/>
        <v>2216978.1924048876</v>
      </c>
      <c r="I273" s="336"/>
      <c r="J273" s="336">
        <f t="shared" si="15"/>
        <v>2216978.1924048876</v>
      </c>
    </row>
    <row r="274" spans="1:10">
      <c r="A274" s="305">
        <v>3</v>
      </c>
      <c r="B274" s="307" t="s">
        <v>344</v>
      </c>
      <c r="C274" s="370" t="s">
        <v>498</v>
      </c>
      <c r="D274" s="355">
        <v>20</v>
      </c>
      <c r="E274" s="342"/>
      <c r="F274" s="342">
        <f t="shared" si="11"/>
        <v>20</v>
      </c>
      <c r="G274" s="336">
        <v>77678.324710899004</v>
      </c>
      <c r="H274" s="336">
        <f t="shared" si="14"/>
        <v>1553566.4942179802</v>
      </c>
      <c r="I274" s="336"/>
      <c r="J274" s="336">
        <f t="shared" si="15"/>
        <v>1553566.4942179802</v>
      </c>
    </row>
    <row r="275" spans="1:10">
      <c r="A275" s="305">
        <v>4</v>
      </c>
      <c r="B275" s="307" t="s">
        <v>345</v>
      </c>
      <c r="C275" s="370" t="s">
        <v>70</v>
      </c>
      <c r="D275" s="355">
        <v>0.99</v>
      </c>
      <c r="E275" s="342"/>
      <c r="F275" s="342">
        <f t="shared" si="11"/>
        <v>0.99</v>
      </c>
      <c r="G275" s="336">
        <v>216467.65221015</v>
      </c>
      <c r="H275" s="336">
        <f t="shared" si="14"/>
        <v>214302.97568804849</v>
      </c>
      <c r="I275" s="336"/>
      <c r="J275" s="336">
        <f t="shared" si="15"/>
        <v>214302.97568804849</v>
      </c>
    </row>
    <row r="276" spans="1:10">
      <c r="A276" s="305">
        <v>5</v>
      </c>
      <c r="B276" s="307" t="s">
        <v>346</v>
      </c>
      <c r="C276" s="370" t="s">
        <v>321</v>
      </c>
      <c r="D276" s="355">
        <v>0.17299999999999999</v>
      </c>
      <c r="E276" s="342"/>
      <c r="F276" s="342">
        <f t="shared" si="11"/>
        <v>0.17299999999999999</v>
      </c>
      <c r="G276" s="336">
        <v>731754.59304715903</v>
      </c>
      <c r="H276" s="336">
        <f t="shared" si="14"/>
        <v>126593.5445971585</v>
      </c>
      <c r="I276" s="336"/>
      <c r="J276" s="336">
        <f t="shared" si="15"/>
        <v>126593.5445971585</v>
      </c>
    </row>
    <row r="277" spans="1:10" ht="33">
      <c r="A277" s="305">
        <v>6</v>
      </c>
      <c r="B277" s="307" t="s">
        <v>347</v>
      </c>
      <c r="C277" s="370" t="s">
        <v>321</v>
      </c>
      <c r="D277" s="355">
        <v>0.218</v>
      </c>
      <c r="E277" s="342"/>
      <c r="F277" s="342">
        <f t="shared" si="11"/>
        <v>0.218</v>
      </c>
      <c r="G277" s="336">
        <v>1235604.0262844632</v>
      </c>
      <c r="H277" s="336">
        <f t="shared" si="14"/>
        <v>269361.67773001298</v>
      </c>
      <c r="I277" s="336"/>
      <c r="J277" s="336">
        <f t="shared" si="15"/>
        <v>269361.67773001298</v>
      </c>
    </row>
    <row r="278" spans="1:10">
      <c r="A278" s="305">
        <v>7</v>
      </c>
      <c r="B278" s="307" t="s">
        <v>348</v>
      </c>
      <c r="C278" s="370" t="s">
        <v>322</v>
      </c>
      <c r="D278" s="355">
        <v>0.08</v>
      </c>
      <c r="E278" s="342"/>
      <c r="F278" s="342">
        <f t="shared" si="11"/>
        <v>0.08</v>
      </c>
      <c r="G278" s="336">
        <v>81099718.991999239</v>
      </c>
      <c r="H278" s="336">
        <f t="shared" si="14"/>
        <v>6487977.5193599388</v>
      </c>
      <c r="I278" s="336"/>
      <c r="J278" s="336">
        <f t="shared" si="15"/>
        <v>6487977.5193599388</v>
      </c>
    </row>
    <row r="279" spans="1:10">
      <c r="A279" s="305">
        <v>8</v>
      </c>
      <c r="B279" s="307" t="s">
        <v>345</v>
      </c>
      <c r="C279" s="370" t="s">
        <v>70</v>
      </c>
      <c r="D279" s="355">
        <v>0.29799999999999999</v>
      </c>
      <c r="E279" s="342"/>
      <c r="F279" s="342">
        <f t="shared" si="11"/>
        <v>0.29799999999999999</v>
      </c>
      <c r="G279" s="336">
        <v>216467.65221015</v>
      </c>
      <c r="H279" s="336">
        <f t="shared" si="14"/>
        <v>64507.360358624697</v>
      </c>
      <c r="I279" s="336"/>
      <c r="J279" s="336">
        <f t="shared" si="15"/>
        <v>64507.360358624697</v>
      </c>
    </row>
    <row r="280" spans="1:10">
      <c r="A280" s="310"/>
      <c r="B280" s="308" t="s">
        <v>499</v>
      </c>
      <c r="C280" s="352"/>
      <c r="D280" s="355">
        <v>0</v>
      </c>
      <c r="E280" s="342"/>
      <c r="F280" s="342">
        <f t="shared" si="11"/>
        <v>0</v>
      </c>
      <c r="G280" s="336">
        <v>0</v>
      </c>
      <c r="H280" s="336">
        <f t="shared" si="14"/>
        <v>0</v>
      </c>
      <c r="I280" s="336"/>
      <c r="J280" s="336">
        <f t="shared" si="15"/>
        <v>0</v>
      </c>
    </row>
    <row r="281" spans="1:10" ht="33">
      <c r="A281" s="305">
        <v>9</v>
      </c>
      <c r="B281" s="309" t="s">
        <v>500</v>
      </c>
      <c r="C281" s="352" t="s">
        <v>321</v>
      </c>
      <c r="D281" s="355">
        <v>0.86799999999999999</v>
      </c>
      <c r="E281" s="342"/>
      <c r="F281" s="342">
        <f t="shared" ref="F281:F344" si="16">D281</f>
        <v>0.86799999999999999</v>
      </c>
      <c r="G281" s="336">
        <v>869256.05268892506</v>
      </c>
      <c r="H281" s="336">
        <f t="shared" si="14"/>
        <v>754514.25373398699</v>
      </c>
      <c r="I281" s="336"/>
      <c r="J281" s="336">
        <f t="shared" si="15"/>
        <v>754514.25373398699</v>
      </c>
    </row>
    <row r="282" spans="1:10">
      <c r="A282" s="305">
        <v>10</v>
      </c>
      <c r="B282" s="309" t="s">
        <v>501</v>
      </c>
      <c r="C282" s="352" t="s">
        <v>106</v>
      </c>
      <c r="D282" s="355">
        <v>0.48</v>
      </c>
      <c r="E282" s="342"/>
      <c r="F282" s="342">
        <f t="shared" si="16"/>
        <v>0.48</v>
      </c>
      <c r="G282" s="336">
        <v>265539806.91625923</v>
      </c>
      <c r="H282" s="336">
        <f t="shared" si="14"/>
        <v>127459107.31980443</v>
      </c>
      <c r="I282" s="336"/>
      <c r="J282" s="336">
        <f t="shared" si="15"/>
        <v>127459107.31980443</v>
      </c>
    </row>
    <row r="283" spans="1:10">
      <c r="A283" s="305">
        <v>11</v>
      </c>
      <c r="B283" s="309" t="s">
        <v>352</v>
      </c>
      <c r="C283" s="352" t="s">
        <v>324</v>
      </c>
      <c r="D283" s="355">
        <v>4.32</v>
      </c>
      <c r="E283" s="342"/>
      <c r="F283" s="342">
        <f t="shared" si="16"/>
        <v>4.32</v>
      </c>
      <c r="G283" s="336">
        <v>1528207.3601667725</v>
      </c>
      <c r="H283" s="336">
        <f t="shared" si="14"/>
        <v>6601855.7959204577</v>
      </c>
      <c r="I283" s="336"/>
      <c r="J283" s="336">
        <f t="shared" si="15"/>
        <v>6601855.7959204577</v>
      </c>
    </row>
    <row r="284" spans="1:10" ht="33">
      <c r="A284" s="305">
        <v>12</v>
      </c>
      <c r="B284" s="309" t="s">
        <v>356</v>
      </c>
      <c r="C284" s="352" t="s">
        <v>324</v>
      </c>
      <c r="D284" s="355">
        <v>4.32</v>
      </c>
      <c r="E284" s="342"/>
      <c r="F284" s="342">
        <f t="shared" si="16"/>
        <v>4.32</v>
      </c>
      <c r="G284" s="336">
        <v>325357.39665435604</v>
      </c>
      <c r="H284" s="336">
        <f t="shared" si="14"/>
        <v>1405543.9535468181</v>
      </c>
      <c r="I284" s="336"/>
      <c r="J284" s="336">
        <f t="shared" si="15"/>
        <v>1405543.9535468181</v>
      </c>
    </row>
    <row r="285" spans="1:10">
      <c r="A285" s="305">
        <v>13</v>
      </c>
      <c r="B285" s="309" t="s">
        <v>501</v>
      </c>
      <c r="C285" s="352" t="s">
        <v>106</v>
      </c>
      <c r="D285" s="355">
        <v>0.48</v>
      </c>
      <c r="E285" s="342"/>
      <c r="F285" s="342">
        <f t="shared" si="16"/>
        <v>0.48</v>
      </c>
      <c r="G285" s="336">
        <v>4541731.8832607036</v>
      </c>
      <c r="H285" s="336">
        <f t="shared" si="14"/>
        <v>2180031.3039651378</v>
      </c>
      <c r="I285" s="336"/>
      <c r="J285" s="336">
        <f t="shared" si="15"/>
        <v>2180031.3039651378</v>
      </c>
    </row>
    <row r="286" spans="1:10">
      <c r="A286" s="310"/>
      <c r="B286" s="308" t="s">
        <v>502</v>
      </c>
      <c r="C286" s="352"/>
      <c r="D286" s="355">
        <v>0</v>
      </c>
      <c r="E286" s="342"/>
      <c r="F286" s="342">
        <f t="shared" si="16"/>
        <v>0</v>
      </c>
      <c r="G286" s="336">
        <v>0</v>
      </c>
      <c r="H286" s="336">
        <f t="shared" si="14"/>
        <v>0</v>
      </c>
      <c r="I286" s="336"/>
      <c r="J286" s="336">
        <f t="shared" si="15"/>
        <v>0</v>
      </c>
    </row>
    <row r="287" spans="1:10">
      <c r="A287" s="303">
        <v>14</v>
      </c>
      <c r="B287" s="309" t="s">
        <v>396</v>
      </c>
      <c r="C287" s="352" t="s">
        <v>325</v>
      </c>
      <c r="D287" s="355">
        <v>1.0940000000000001</v>
      </c>
      <c r="E287" s="342"/>
      <c r="F287" s="342">
        <f t="shared" si="16"/>
        <v>1.0940000000000001</v>
      </c>
      <c r="G287" s="336">
        <v>2389507.7110639899</v>
      </c>
      <c r="H287" s="336">
        <f t="shared" si="14"/>
        <v>2614121.4359040051</v>
      </c>
      <c r="I287" s="336"/>
      <c r="J287" s="336">
        <f t="shared" si="15"/>
        <v>2614121.4359040051</v>
      </c>
    </row>
    <row r="288" spans="1:10">
      <c r="A288" s="303">
        <v>15</v>
      </c>
      <c r="B288" s="309" t="s">
        <v>503</v>
      </c>
      <c r="C288" s="352" t="s">
        <v>504</v>
      </c>
      <c r="D288" s="355">
        <v>6.0000000000000001E-3</v>
      </c>
      <c r="E288" s="342"/>
      <c r="F288" s="342">
        <f t="shared" si="16"/>
        <v>6.0000000000000001E-3</v>
      </c>
      <c r="G288" s="336">
        <v>22449267.621163417</v>
      </c>
      <c r="H288" s="336">
        <f t="shared" si="14"/>
        <v>134695.60572698052</v>
      </c>
      <c r="I288" s="336"/>
      <c r="J288" s="336">
        <f t="shared" si="15"/>
        <v>134695.60572698052</v>
      </c>
    </row>
    <row r="289" spans="1:10">
      <c r="A289" s="311"/>
      <c r="B289" s="312" t="s">
        <v>595</v>
      </c>
      <c r="C289" s="374"/>
      <c r="D289" s="355">
        <v>0</v>
      </c>
      <c r="E289" s="342"/>
      <c r="F289" s="342">
        <f t="shared" si="16"/>
        <v>0</v>
      </c>
      <c r="G289" s="336">
        <v>0</v>
      </c>
      <c r="H289" s="336">
        <f t="shared" si="14"/>
        <v>0</v>
      </c>
      <c r="I289" s="336"/>
      <c r="J289" s="336">
        <f t="shared" si="15"/>
        <v>0</v>
      </c>
    </row>
    <row r="290" spans="1:10">
      <c r="A290" s="303">
        <v>16</v>
      </c>
      <c r="B290" s="309" t="s">
        <v>506</v>
      </c>
      <c r="C290" s="352" t="s">
        <v>596</v>
      </c>
      <c r="D290" s="355">
        <v>12</v>
      </c>
      <c r="E290" s="342"/>
      <c r="F290" s="342">
        <f t="shared" si="16"/>
        <v>12</v>
      </c>
      <c r="G290" s="336">
        <v>540104.64721076598</v>
      </c>
      <c r="H290" s="336">
        <f t="shared" si="14"/>
        <v>6481255.7665291913</v>
      </c>
      <c r="I290" s="336"/>
      <c r="J290" s="336">
        <f t="shared" si="15"/>
        <v>6481255.7665291913</v>
      </c>
    </row>
    <row r="291" spans="1:10">
      <c r="A291" s="303">
        <v>17</v>
      </c>
      <c r="B291" s="309" t="s">
        <v>508</v>
      </c>
      <c r="C291" s="352" t="s">
        <v>509</v>
      </c>
      <c r="D291" s="355">
        <v>4</v>
      </c>
      <c r="E291" s="342"/>
      <c r="F291" s="342">
        <f t="shared" si="16"/>
        <v>4</v>
      </c>
      <c r="G291" s="336">
        <v>592767.30985550093</v>
      </c>
      <c r="H291" s="336">
        <f t="shared" si="14"/>
        <v>2371069.2394220037</v>
      </c>
      <c r="I291" s="336"/>
      <c r="J291" s="336">
        <f t="shared" si="15"/>
        <v>2371069.2394220037</v>
      </c>
    </row>
    <row r="292" spans="1:10">
      <c r="A292" s="303">
        <v>18</v>
      </c>
      <c r="B292" s="309" t="s">
        <v>510</v>
      </c>
      <c r="C292" s="372" t="s">
        <v>504</v>
      </c>
      <c r="D292" s="355">
        <v>5.6849999999999996</v>
      </c>
      <c r="E292" s="342"/>
      <c r="F292" s="342">
        <f t="shared" si="16"/>
        <v>5.6849999999999996</v>
      </c>
      <c r="G292" s="336">
        <v>1490972.5879391199</v>
      </c>
      <c r="H292" s="336">
        <f t="shared" si="14"/>
        <v>8476179.1624338962</v>
      </c>
      <c r="I292" s="336"/>
      <c r="J292" s="336">
        <f t="shared" si="15"/>
        <v>8476179.1624338962</v>
      </c>
    </row>
    <row r="293" spans="1:10">
      <c r="A293" s="303">
        <v>19</v>
      </c>
      <c r="B293" s="307" t="s">
        <v>366</v>
      </c>
      <c r="C293" s="374" t="s">
        <v>324</v>
      </c>
      <c r="D293" s="355">
        <v>1.1200000000000001</v>
      </c>
      <c r="E293" s="342"/>
      <c r="F293" s="342">
        <f t="shared" si="16"/>
        <v>1.1200000000000001</v>
      </c>
      <c r="G293" s="336">
        <v>10347238.214029023</v>
      </c>
      <c r="H293" s="336">
        <f t="shared" si="14"/>
        <v>11588906.799712507</v>
      </c>
      <c r="I293" s="336"/>
      <c r="J293" s="336">
        <f t="shared" si="15"/>
        <v>11588906.799712507</v>
      </c>
    </row>
    <row r="294" spans="1:10">
      <c r="A294" s="303">
        <v>20</v>
      </c>
      <c r="B294" s="309" t="s">
        <v>358</v>
      </c>
      <c r="C294" s="352" t="s">
        <v>323</v>
      </c>
      <c r="D294" s="355">
        <v>20.5</v>
      </c>
      <c r="E294" s="342"/>
      <c r="F294" s="342">
        <f t="shared" si="16"/>
        <v>20.5</v>
      </c>
      <c r="G294" s="336">
        <v>544091.62329219503</v>
      </c>
      <c r="H294" s="336">
        <f t="shared" si="14"/>
        <v>11153878.277489997</v>
      </c>
      <c r="I294" s="336"/>
      <c r="J294" s="336">
        <f t="shared" si="15"/>
        <v>11153878.277489997</v>
      </c>
    </row>
    <row r="295" spans="1:10">
      <c r="A295" s="310"/>
      <c r="B295" s="308" t="s">
        <v>597</v>
      </c>
      <c r="C295" s="352"/>
      <c r="D295" s="340"/>
      <c r="E295" s="342"/>
      <c r="F295" s="342">
        <f t="shared" si="16"/>
        <v>0</v>
      </c>
      <c r="G295" s="336">
        <v>0</v>
      </c>
      <c r="H295" s="336">
        <f t="shared" si="14"/>
        <v>0</v>
      </c>
      <c r="I295" s="336"/>
      <c r="J295" s="336">
        <f t="shared" si="15"/>
        <v>0</v>
      </c>
    </row>
    <row r="296" spans="1:10">
      <c r="A296" s="305"/>
      <c r="B296" s="308" t="s">
        <v>518</v>
      </c>
      <c r="C296" s="352"/>
      <c r="D296" s="340"/>
      <c r="E296" s="342"/>
      <c r="F296" s="342">
        <f t="shared" si="16"/>
        <v>0</v>
      </c>
      <c r="G296" s="336">
        <v>0</v>
      </c>
      <c r="H296" s="336">
        <f t="shared" si="14"/>
        <v>0</v>
      </c>
      <c r="I296" s="336"/>
      <c r="J296" s="336">
        <f t="shared" si="15"/>
        <v>0</v>
      </c>
    </row>
    <row r="297" spans="1:10" ht="33">
      <c r="A297" s="303">
        <v>21</v>
      </c>
      <c r="B297" s="307" t="s">
        <v>362</v>
      </c>
      <c r="C297" s="352" t="s">
        <v>324</v>
      </c>
      <c r="D297" s="355">
        <v>5.4359999999999999</v>
      </c>
      <c r="E297" s="342"/>
      <c r="F297" s="342">
        <f t="shared" si="16"/>
        <v>5.4359999999999999</v>
      </c>
      <c r="G297" s="336">
        <v>36335388.097262233</v>
      </c>
      <c r="H297" s="336">
        <f t="shared" si="14"/>
        <v>197519169.6967175</v>
      </c>
      <c r="I297" s="336"/>
      <c r="J297" s="336">
        <f t="shared" si="15"/>
        <v>197519169.6967175</v>
      </c>
    </row>
    <row r="298" spans="1:10" ht="33">
      <c r="A298" s="303">
        <v>22</v>
      </c>
      <c r="B298" s="307" t="s">
        <v>363</v>
      </c>
      <c r="C298" s="352" t="s">
        <v>324</v>
      </c>
      <c r="D298" s="355">
        <v>1.764</v>
      </c>
      <c r="E298" s="342"/>
      <c r="F298" s="342">
        <f t="shared" si="16"/>
        <v>1.764</v>
      </c>
      <c r="G298" s="336">
        <v>27251541.194615819</v>
      </c>
      <c r="H298" s="336">
        <f t="shared" si="14"/>
        <v>48071718.667302303</v>
      </c>
      <c r="I298" s="336"/>
      <c r="J298" s="336">
        <f t="shared" si="15"/>
        <v>48071718.667302303</v>
      </c>
    </row>
    <row r="299" spans="1:10">
      <c r="A299" s="303">
        <v>23</v>
      </c>
      <c r="B299" s="307" t="s">
        <v>513</v>
      </c>
      <c r="C299" s="352" t="s">
        <v>504</v>
      </c>
      <c r="D299" s="355">
        <v>32.975999999999999</v>
      </c>
      <c r="E299" s="342"/>
      <c r="F299" s="342">
        <f t="shared" si="16"/>
        <v>32.975999999999999</v>
      </c>
      <c r="G299" s="336">
        <v>1414136.3361682652</v>
      </c>
      <c r="H299" s="336">
        <f t="shared" si="14"/>
        <v>46632559.821484715</v>
      </c>
      <c r="I299" s="336"/>
      <c r="J299" s="336">
        <f t="shared" si="15"/>
        <v>46632559.821484715</v>
      </c>
    </row>
    <row r="300" spans="1:10">
      <c r="A300" s="303">
        <v>24</v>
      </c>
      <c r="B300" s="307" t="s">
        <v>380</v>
      </c>
      <c r="C300" s="352" t="s">
        <v>504</v>
      </c>
      <c r="D300" s="355">
        <v>2.0449999999999999</v>
      </c>
      <c r="E300" s="342"/>
      <c r="F300" s="342">
        <f t="shared" si="16"/>
        <v>2.0449999999999999</v>
      </c>
      <c r="G300" s="336">
        <v>9410025.444333382</v>
      </c>
      <c r="H300" s="336">
        <f t="shared" si="14"/>
        <v>19243502.033661764</v>
      </c>
      <c r="I300" s="336"/>
      <c r="J300" s="336">
        <f t="shared" si="15"/>
        <v>19243502.033661764</v>
      </c>
    </row>
    <row r="301" spans="1:10" ht="33">
      <c r="A301" s="303">
        <v>25</v>
      </c>
      <c r="B301" s="307" t="s">
        <v>514</v>
      </c>
      <c r="C301" s="352" t="s">
        <v>504</v>
      </c>
      <c r="D301" s="355">
        <v>1.806</v>
      </c>
      <c r="E301" s="342"/>
      <c r="F301" s="342">
        <f t="shared" si="16"/>
        <v>1.806</v>
      </c>
      <c r="G301" s="336">
        <v>1414136.3361682652</v>
      </c>
      <c r="H301" s="336">
        <f t="shared" si="14"/>
        <v>2553930.2231198871</v>
      </c>
      <c r="I301" s="336"/>
      <c r="J301" s="336">
        <f t="shared" si="15"/>
        <v>2553930.2231198871</v>
      </c>
    </row>
    <row r="302" spans="1:10">
      <c r="A302" s="303">
        <v>26</v>
      </c>
      <c r="B302" s="309" t="s">
        <v>515</v>
      </c>
      <c r="C302" s="352" t="s">
        <v>504</v>
      </c>
      <c r="D302" s="355">
        <v>0.23899999999999999</v>
      </c>
      <c r="E302" s="342"/>
      <c r="F302" s="342">
        <f t="shared" si="16"/>
        <v>0.23899999999999999</v>
      </c>
      <c r="G302" s="336">
        <v>19601430.430915311</v>
      </c>
      <c r="H302" s="336">
        <f t="shared" si="14"/>
        <v>4684741.8729887595</v>
      </c>
      <c r="I302" s="336"/>
      <c r="J302" s="336">
        <f t="shared" si="15"/>
        <v>4684741.8729887595</v>
      </c>
    </row>
    <row r="303" spans="1:10">
      <c r="A303" s="303">
        <v>27</v>
      </c>
      <c r="B303" s="307" t="s">
        <v>364</v>
      </c>
      <c r="C303" s="352" t="s">
        <v>504</v>
      </c>
      <c r="D303" s="355">
        <v>2.0449999999999999</v>
      </c>
      <c r="E303" s="342"/>
      <c r="F303" s="342">
        <f t="shared" si="16"/>
        <v>2.0449999999999999</v>
      </c>
      <c r="G303" s="336">
        <v>6080313.1193965599</v>
      </c>
      <c r="H303" s="336">
        <f t="shared" si="14"/>
        <v>12434240.329165965</v>
      </c>
      <c r="I303" s="336"/>
      <c r="J303" s="336">
        <f t="shared" si="15"/>
        <v>12434240.329165965</v>
      </c>
    </row>
    <row r="304" spans="1:10">
      <c r="A304" s="303">
        <v>28</v>
      </c>
      <c r="B304" s="307" t="s">
        <v>365</v>
      </c>
      <c r="C304" s="352" t="s">
        <v>504</v>
      </c>
      <c r="D304" s="355">
        <v>2.0449999999999999</v>
      </c>
      <c r="E304" s="342"/>
      <c r="F304" s="342">
        <f t="shared" si="16"/>
        <v>2.0449999999999999</v>
      </c>
      <c r="G304" s="336">
        <v>3640153.3282428598</v>
      </c>
      <c r="H304" s="336">
        <f t="shared" si="14"/>
        <v>7444113.5562566482</v>
      </c>
      <c r="I304" s="336"/>
      <c r="J304" s="336">
        <f t="shared" si="15"/>
        <v>7444113.5562566482</v>
      </c>
    </row>
    <row r="305" spans="1:10" ht="33">
      <c r="A305" s="303">
        <v>29</v>
      </c>
      <c r="B305" s="309" t="s">
        <v>351</v>
      </c>
      <c r="C305" s="352" t="s">
        <v>324</v>
      </c>
      <c r="D305" s="355">
        <v>28.7</v>
      </c>
      <c r="E305" s="342"/>
      <c r="F305" s="342">
        <f t="shared" si="16"/>
        <v>28.7</v>
      </c>
      <c r="G305" s="336">
        <v>5280236.9235888254</v>
      </c>
      <c r="H305" s="336">
        <f t="shared" si="14"/>
        <v>151542799.70699927</v>
      </c>
      <c r="I305" s="336"/>
      <c r="J305" s="336">
        <f t="shared" si="15"/>
        <v>151542799.70699927</v>
      </c>
    </row>
    <row r="306" spans="1:10">
      <c r="A306" s="303">
        <v>30</v>
      </c>
      <c r="B306" s="309" t="s">
        <v>354</v>
      </c>
      <c r="C306" s="352" t="s">
        <v>320</v>
      </c>
      <c r="D306" s="355">
        <v>4.0549999999999997</v>
      </c>
      <c r="E306" s="342"/>
      <c r="F306" s="342">
        <f t="shared" si="16"/>
        <v>4.0549999999999997</v>
      </c>
      <c r="G306" s="336">
        <v>19155571.308668852</v>
      </c>
      <c r="H306" s="336">
        <f t="shared" si="14"/>
        <v>77675841.656652182</v>
      </c>
      <c r="I306" s="336"/>
      <c r="J306" s="336">
        <f t="shared" si="15"/>
        <v>77675841.656652182</v>
      </c>
    </row>
    <row r="307" spans="1:10">
      <c r="A307" s="303">
        <v>31</v>
      </c>
      <c r="B307" s="307" t="s">
        <v>348</v>
      </c>
      <c r="C307" s="352" t="s">
        <v>322</v>
      </c>
      <c r="D307" s="355">
        <v>0.37</v>
      </c>
      <c r="E307" s="342"/>
      <c r="F307" s="342">
        <f t="shared" si="16"/>
        <v>0.37</v>
      </c>
      <c r="G307" s="336">
        <v>81099718.991999239</v>
      </c>
      <c r="H307" s="336">
        <f t="shared" si="14"/>
        <v>30006896.027039718</v>
      </c>
      <c r="I307" s="336"/>
      <c r="J307" s="336">
        <f t="shared" si="15"/>
        <v>30006896.027039718</v>
      </c>
    </row>
    <row r="308" spans="1:10">
      <c r="A308" s="303">
        <v>32</v>
      </c>
      <c r="B308" s="309" t="s">
        <v>349</v>
      </c>
      <c r="C308" s="352" t="s">
        <v>323</v>
      </c>
      <c r="D308" s="355">
        <v>255.71</v>
      </c>
      <c r="E308" s="342"/>
      <c r="F308" s="342">
        <f t="shared" si="16"/>
        <v>255.71</v>
      </c>
      <c r="G308" s="336">
        <v>499374.96253281418</v>
      </c>
      <c r="H308" s="336">
        <f t="shared" si="14"/>
        <v>127695171.66926593</v>
      </c>
      <c r="I308" s="336"/>
      <c r="J308" s="336">
        <f t="shared" si="15"/>
        <v>127695171.66926593</v>
      </c>
    </row>
    <row r="309" spans="1:10">
      <c r="A309" s="303">
        <v>33</v>
      </c>
      <c r="B309" s="309" t="s">
        <v>353</v>
      </c>
      <c r="C309" s="352" t="s">
        <v>325</v>
      </c>
      <c r="D309" s="355">
        <v>4.0350000000000001</v>
      </c>
      <c r="E309" s="342"/>
      <c r="F309" s="342">
        <f t="shared" si="16"/>
        <v>4.0350000000000001</v>
      </c>
      <c r="G309" s="336">
        <v>636406.25898883003</v>
      </c>
      <c r="H309" s="336">
        <f t="shared" si="14"/>
        <v>2567899.2550199293</v>
      </c>
      <c r="I309" s="336"/>
      <c r="J309" s="336">
        <f t="shared" si="15"/>
        <v>2567899.2550199293</v>
      </c>
    </row>
    <row r="310" spans="1:10">
      <c r="A310" s="303">
        <v>34</v>
      </c>
      <c r="B310" s="309" t="s">
        <v>396</v>
      </c>
      <c r="C310" s="352" t="s">
        <v>325</v>
      </c>
      <c r="D310" s="355">
        <v>2.65</v>
      </c>
      <c r="E310" s="342"/>
      <c r="F310" s="342">
        <f t="shared" si="16"/>
        <v>2.65</v>
      </c>
      <c r="G310" s="336">
        <v>2389507.7110639899</v>
      </c>
      <c r="H310" s="336">
        <f t="shared" si="14"/>
        <v>6332195.4343195735</v>
      </c>
      <c r="I310" s="336"/>
      <c r="J310" s="336">
        <f t="shared" si="15"/>
        <v>6332195.4343195735</v>
      </c>
    </row>
    <row r="311" spans="1:10">
      <c r="A311" s="303">
        <v>35</v>
      </c>
      <c r="B311" s="307" t="s">
        <v>366</v>
      </c>
      <c r="C311" s="352" t="s">
        <v>324</v>
      </c>
      <c r="D311" s="355">
        <v>5.4359999999999999</v>
      </c>
      <c r="E311" s="342"/>
      <c r="F311" s="342">
        <f t="shared" si="16"/>
        <v>5.4359999999999999</v>
      </c>
      <c r="G311" s="336">
        <v>10347238.214029023</v>
      </c>
      <c r="H311" s="336">
        <f t="shared" si="14"/>
        <v>56247586.931461774</v>
      </c>
      <c r="I311" s="336"/>
      <c r="J311" s="336">
        <f t="shared" si="15"/>
        <v>56247586.931461774</v>
      </c>
    </row>
    <row r="312" spans="1:10" ht="33">
      <c r="A312" s="303">
        <v>36</v>
      </c>
      <c r="B312" s="309" t="s">
        <v>355</v>
      </c>
      <c r="C312" s="352" t="s">
        <v>324</v>
      </c>
      <c r="D312" s="355">
        <v>28.7</v>
      </c>
      <c r="E312" s="342"/>
      <c r="F312" s="342">
        <f t="shared" si="16"/>
        <v>28.7</v>
      </c>
      <c r="G312" s="336">
        <v>1146906.249142335</v>
      </c>
      <c r="H312" s="336">
        <f t="shared" si="14"/>
        <v>32916209.350385014</v>
      </c>
      <c r="I312" s="336"/>
      <c r="J312" s="336">
        <f t="shared" si="15"/>
        <v>32916209.350385014</v>
      </c>
    </row>
    <row r="313" spans="1:10">
      <c r="A313" s="303">
        <v>37</v>
      </c>
      <c r="B313" s="309" t="s">
        <v>517</v>
      </c>
      <c r="C313" s="352" t="s">
        <v>321</v>
      </c>
      <c r="D313" s="355">
        <v>5.5860000000000003</v>
      </c>
      <c r="E313" s="342"/>
      <c r="F313" s="342">
        <f t="shared" si="16"/>
        <v>5.5860000000000003</v>
      </c>
      <c r="G313" s="336">
        <v>869256.05268892506</v>
      </c>
      <c r="H313" s="336">
        <f t="shared" si="14"/>
        <v>4855664.3103203354</v>
      </c>
      <c r="I313" s="336"/>
      <c r="J313" s="336">
        <f t="shared" si="15"/>
        <v>4855664.3103203354</v>
      </c>
    </row>
    <row r="314" spans="1:10">
      <c r="A314" s="310"/>
      <c r="B314" s="308" t="s">
        <v>512</v>
      </c>
      <c r="C314" s="373"/>
      <c r="D314" s="355">
        <v>0</v>
      </c>
      <c r="E314" s="342"/>
      <c r="F314" s="342">
        <f t="shared" si="16"/>
        <v>0</v>
      </c>
      <c r="G314" s="336">
        <v>0</v>
      </c>
      <c r="H314" s="336">
        <f t="shared" si="14"/>
        <v>0</v>
      </c>
      <c r="I314" s="336"/>
      <c r="J314" s="336">
        <f t="shared" si="15"/>
        <v>0</v>
      </c>
    </row>
    <row r="315" spans="1:10" ht="33">
      <c r="A315" s="303">
        <v>38</v>
      </c>
      <c r="B315" s="307" t="s">
        <v>362</v>
      </c>
      <c r="C315" s="352" t="s">
        <v>324</v>
      </c>
      <c r="D315" s="355">
        <v>3.3260000000000001</v>
      </c>
      <c r="E315" s="342"/>
      <c r="F315" s="342">
        <f t="shared" si="16"/>
        <v>3.3260000000000001</v>
      </c>
      <c r="G315" s="336">
        <v>36335388.097262233</v>
      </c>
      <c r="H315" s="336">
        <f t="shared" si="14"/>
        <v>120851500.81149419</v>
      </c>
      <c r="I315" s="336"/>
      <c r="J315" s="336">
        <f t="shared" si="15"/>
        <v>120851500.81149419</v>
      </c>
    </row>
    <row r="316" spans="1:10" ht="33">
      <c r="A316" s="303">
        <v>39</v>
      </c>
      <c r="B316" s="307" t="s">
        <v>363</v>
      </c>
      <c r="C316" s="352" t="s">
        <v>324</v>
      </c>
      <c r="D316" s="355">
        <v>0.99399999999999999</v>
      </c>
      <c r="E316" s="342"/>
      <c r="F316" s="342">
        <f t="shared" si="16"/>
        <v>0.99399999999999999</v>
      </c>
      <c r="G316" s="336">
        <v>27251541.194615819</v>
      </c>
      <c r="H316" s="336">
        <f t="shared" si="14"/>
        <v>27088031.947448123</v>
      </c>
      <c r="I316" s="336"/>
      <c r="J316" s="336">
        <f t="shared" si="15"/>
        <v>27088031.947448123</v>
      </c>
    </row>
    <row r="317" spans="1:10">
      <c r="A317" s="303">
        <v>40</v>
      </c>
      <c r="B317" s="307" t="s">
        <v>513</v>
      </c>
      <c r="C317" s="352" t="s">
        <v>504</v>
      </c>
      <c r="D317" s="355">
        <v>19.786000000000001</v>
      </c>
      <c r="E317" s="342"/>
      <c r="F317" s="342">
        <f t="shared" si="16"/>
        <v>19.786000000000001</v>
      </c>
      <c r="G317" s="336">
        <v>1414136.3361682652</v>
      </c>
      <c r="H317" s="336">
        <f t="shared" si="14"/>
        <v>27980101.547425296</v>
      </c>
      <c r="I317" s="336"/>
      <c r="J317" s="336">
        <f t="shared" si="15"/>
        <v>27980101.547425296</v>
      </c>
    </row>
    <row r="318" spans="1:10">
      <c r="A318" s="303">
        <v>41</v>
      </c>
      <c r="B318" s="307" t="s">
        <v>380</v>
      </c>
      <c r="C318" s="352" t="s">
        <v>504</v>
      </c>
      <c r="D318" s="355">
        <v>1.1479999999999999</v>
      </c>
      <c r="E318" s="342"/>
      <c r="F318" s="342">
        <f t="shared" si="16"/>
        <v>1.1479999999999999</v>
      </c>
      <c r="G318" s="336">
        <v>9410025.444333382</v>
      </c>
      <c r="H318" s="336">
        <f t="shared" si="14"/>
        <v>10802709.210094722</v>
      </c>
      <c r="I318" s="336"/>
      <c r="J318" s="336">
        <f t="shared" si="15"/>
        <v>10802709.210094722</v>
      </c>
    </row>
    <row r="319" spans="1:10" ht="33">
      <c r="A319" s="303">
        <v>42</v>
      </c>
      <c r="B319" s="307" t="s">
        <v>514</v>
      </c>
      <c r="C319" s="352" t="s">
        <v>504</v>
      </c>
      <c r="D319" s="355">
        <v>1.012</v>
      </c>
      <c r="E319" s="342"/>
      <c r="F319" s="342">
        <f t="shared" si="16"/>
        <v>1.012</v>
      </c>
      <c r="G319" s="336">
        <v>1414136.3361682652</v>
      </c>
      <c r="H319" s="336">
        <f t="shared" si="14"/>
        <v>1431105.9722022845</v>
      </c>
      <c r="I319" s="336"/>
      <c r="J319" s="336">
        <f t="shared" si="15"/>
        <v>1431105.9722022845</v>
      </c>
    </row>
    <row r="320" spans="1:10">
      <c r="A320" s="303">
        <v>43</v>
      </c>
      <c r="B320" s="309" t="s">
        <v>515</v>
      </c>
      <c r="C320" s="352" t="s">
        <v>504</v>
      </c>
      <c r="D320" s="355">
        <v>0.13600000000000001</v>
      </c>
      <c r="E320" s="342"/>
      <c r="F320" s="342">
        <f t="shared" si="16"/>
        <v>0.13600000000000001</v>
      </c>
      <c r="G320" s="336">
        <v>19601430.430915311</v>
      </c>
      <c r="H320" s="336">
        <f t="shared" si="14"/>
        <v>2665794.5386044825</v>
      </c>
      <c r="I320" s="336"/>
      <c r="J320" s="336">
        <f t="shared" si="15"/>
        <v>2665794.5386044825</v>
      </c>
    </row>
    <row r="321" spans="1:10">
      <c r="A321" s="303">
        <v>44</v>
      </c>
      <c r="B321" s="307" t="s">
        <v>364</v>
      </c>
      <c r="C321" s="352" t="s">
        <v>504</v>
      </c>
      <c r="D321" s="355">
        <v>1.1479999999999999</v>
      </c>
      <c r="E321" s="342"/>
      <c r="F321" s="342">
        <f t="shared" si="16"/>
        <v>1.1479999999999999</v>
      </c>
      <c r="G321" s="336">
        <v>6080313.1193965599</v>
      </c>
      <c r="H321" s="336">
        <f t="shared" si="14"/>
        <v>6980199.46106725</v>
      </c>
      <c r="I321" s="336"/>
      <c r="J321" s="336">
        <f t="shared" si="15"/>
        <v>6980199.46106725</v>
      </c>
    </row>
    <row r="322" spans="1:10">
      <c r="A322" s="303">
        <v>45</v>
      </c>
      <c r="B322" s="307" t="s">
        <v>365</v>
      </c>
      <c r="C322" s="352" t="s">
        <v>504</v>
      </c>
      <c r="D322" s="355">
        <v>1.1479999999999999</v>
      </c>
      <c r="E322" s="342"/>
      <c r="F322" s="342">
        <f t="shared" si="16"/>
        <v>1.1479999999999999</v>
      </c>
      <c r="G322" s="336">
        <v>3640153.3282428598</v>
      </c>
      <c r="H322" s="336">
        <f t="shared" si="14"/>
        <v>4178896.0208228026</v>
      </c>
      <c r="I322" s="336"/>
      <c r="J322" s="336">
        <f t="shared" si="15"/>
        <v>4178896.0208228026</v>
      </c>
    </row>
    <row r="323" spans="1:10" ht="33">
      <c r="A323" s="303">
        <v>46</v>
      </c>
      <c r="B323" s="309" t="s">
        <v>351</v>
      </c>
      <c r="C323" s="352" t="s">
        <v>324</v>
      </c>
      <c r="D323" s="355">
        <v>17.149999999999999</v>
      </c>
      <c r="E323" s="342"/>
      <c r="F323" s="342">
        <f t="shared" si="16"/>
        <v>17.149999999999999</v>
      </c>
      <c r="G323" s="336">
        <v>5280236.9235888254</v>
      </c>
      <c r="H323" s="336">
        <f t="shared" si="14"/>
        <v>90556063.239548355</v>
      </c>
      <c r="I323" s="336"/>
      <c r="J323" s="336">
        <f t="shared" si="15"/>
        <v>90556063.239548355</v>
      </c>
    </row>
    <row r="324" spans="1:10">
      <c r="A324" s="303">
        <v>47</v>
      </c>
      <c r="B324" s="309" t="s">
        <v>354</v>
      </c>
      <c r="C324" s="352" t="s">
        <v>320</v>
      </c>
      <c r="D324" s="355">
        <v>1.4490000000000001</v>
      </c>
      <c r="E324" s="342"/>
      <c r="F324" s="342">
        <f t="shared" si="16"/>
        <v>1.4490000000000001</v>
      </c>
      <c r="G324" s="336">
        <v>19155571.308668852</v>
      </c>
      <c r="H324" s="336">
        <f t="shared" si="14"/>
        <v>27756422.826261166</v>
      </c>
      <c r="I324" s="336"/>
      <c r="J324" s="336">
        <f t="shared" si="15"/>
        <v>27756422.826261166</v>
      </c>
    </row>
    <row r="325" spans="1:10">
      <c r="A325" s="303">
        <v>48</v>
      </c>
      <c r="B325" s="307" t="s">
        <v>348</v>
      </c>
      <c r="C325" s="352" t="s">
        <v>322</v>
      </c>
      <c r="D325" s="355">
        <v>0.123</v>
      </c>
      <c r="E325" s="342"/>
      <c r="F325" s="342">
        <f t="shared" si="16"/>
        <v>0.123</v>
      </c>
      <c r="G325" s="336">
        <v>81099718.991999239</v>
      </c>
      <c r="H325" s="336">
        <f t="shared" si="14"/>
        <v>9975265.4360159058</v>
      </c>
      <c r="I325" s="336"/>
      <c r="J325" s="336">
        <f t="shared" si="15"/>
        <v>9975265.4360159058</v>
      </c>
    </row>
    <row r="326" spans="1:10">
      <c r="A326" s="303">
        <v>49</v>
      </c>
      <c r="B326" s="309" t="s">
        <v>349</v>
      </c>
      <c r="C326" s="352" t="s">
        <v>323</v>
      </c>
      <c r="D326" s="355">
        <v>304.68</v>
      </c>
      <c r="E326" s="342"/>
      <c r="F326" s="342">
        <f t="shared" si="16"/>
        <v>304.68</v>
      </c>
      <c r="G326" s="336">
        <v>499374.96253281418</v>
      </c>
      <c r="H326" s="336">
        <f t="shared" si="14"/>
        <v>152149563.58449784</v>
      </c>
      <c r="I326" s="336"/>
      <c r="J326" s="336">
        <f t="shared" si="15"/>
        <v>152149563.58449784</v>
      </c>
    </row>
    <row r="327" spans="1:10">
      <c r="A327" s="303">
        <v>50</v>
      </c>
      <c r="B327" s="309" t="s">
        <v>353</v>
      </c>
      <c r="C327" s="352" t="s">
        <v>325</v>
      </c>
      <c r="D327" s="355">
        <v>0.40699999999999997</v>
      </c>
      <c r="E327" s="342"/>
      <c r="F327" s="342">
        <f t="shared" si="16"/>
        <v>0.40699999999999997</v>
      </c>
      <c r="G327" s="336">
        <v>636406.25898883003</v>
      </c>
      <c r="H327" s="336">
        <f t="shared" si="14"/>
        <v>259017.34740845382</v>
      </c>
      <c r="I327" s="336"/>
      <c r="J327" s="336">
        <f t="shared" si="15"/>
        <v>259017.34740845382</v>
      </c>
    </row>
    <row r="328" spans="1:10">
      <c r="A328" s="303">
        <v>51</v>
      </c>
      <c r="B328" s="309" t="s">
        <v>396</v>
      </c>
      <c r="C328" s="352" t="s">
        <v>325</v>
      </c>
      <c r="D328" s="355">
        <v>1.623</v>
      </c>
      <c r="E328" s="342"/>
      <c r="F328" s="342">
        <f t="shared" si="16"/>
        <v>1.623</v>
      </c>
      <c r="G328" s="336">
        <v>2389507.7110639899</v>
      </c>
      <c r="H328" s="336">
        <f t="shared" si="14"/>
        <v>3878171.0150568555</v>
      </c>
      <c r="I328" s="336"/>
      <c r="J328" s="336">
        <f t="shared" si="15"/>
        <v>3878171.0150568555</v>
      </c>
    </row>
    <row r="329" spans="1:10">
      <c r="A329" s="303">
        <v>52</v>
      </c>
      <c r="B329" s="307" t="s">
        <v>366</v>
      </c>
      <c r="C329" s="352" t="s">
        <v>324</v>
      </c>
      <c r="D329" s="355">
        <v>3.3260000000000001</v>
      </c>
      <c r="E329" s="342"/>
      <c r="F329" s="342">
        <f t="shared" si="16"/>
        <v>3.3260000000000001</v>
      </c>
      <c r="G329" s="336">
        <v>10347238.214029023</v>
      </c>
      <c r="H329" s="336">
        <f t="shared" si="14"/>
        <v>34414914.29986053</v>
      </c>
      <c r="I329" s="336"/>
      <c r="J329" s="336">
        <f t="shared" si="15"/>
        <v>34414914.29986053</v>
      </c>
    </row>
    <row r="330" spans="1:10" ht="33">
      <c r="A330" s="303">
        <v>38</v>
      </c>
      <c r="B330" s="309" t="s">
        <v>355</v>
      </c>
      <c r="C330" s="352" t="s">
        <v>324</v>
      </c>
      <c r="D330" s="355">
        <v>17.149999999999999</v>
      </c>
      <c r="E330" s="342"/>
      <c r="F330" s="342">
        <f t="shared" si="16"/>
        <v>17.149999999999999</v>
      </c>
      <c r="G330" s="336">
        <v>1146906.249142335</v>
      </c>
      <c r="H330" s="336">
        <f t="shared" si="14"/>
        <v>19669442.172791045</v>
      </c>
      <c r="I330" s="336"/>
      <c r="J330" s="336">
        <f t="shared" si="15"/>
        <v>19669442.172791045</v>
      </c>
    </row>
    <row r="331" spans="1:10">
      <c r="A331" s="303">
        <v>39</v>
      </c>
      <c r="B331" s="309" t="s">
        <v>517</v>
      </c>
      <c r="C331" s="352" t="s">
        <v>321</v>
      </c>
      <c r="D331" s="355">
        <v>3.6960000000000002</v>
      </c>
      <c r="E331" s="342"/>
      <c r="F331" s="342">
        <f t="shared" si="16"/>
        <v>3.6960000000000002</v>
      </c>
      <c r="G331" s="336">
        <v>869256.05268892506</v>
      </c>
      <c r="H331" s="336">
        <f t="shared" si="14"/>
        <v>3212770.370738267</v>
      </c>
      <c r="I331" s="336"/>
      <c r="J331" s="336">
        <f t="shared" si="15"/>
        <v>3212770.370738267</v>
      </c>
    </row>
    <row r="332" spans="1:10">
      <c r="A332" s="303">
        <v>40</v>
      </c>
      <c r="B332" s="309" t="s">
        <v>438</v>
      </c>
      <c r="C332" s="352" t="s">
        <v>509</v>
      </c>
      <c r="D332" s="355">
        <v>66</v>
      </c>
      <c r="E332" s="342"/>
      <c r="F332" s="342">
        <f t="shared" si="16"/>
        <v>66</v>
      </c>
      <c r="G332" s="336">
        <v>96127.503237292985</v>
      </c>
      <c r="H332" s="336">
        <f t="shared" si="14"/>
        <v>6344415.2136613373</v>
      </c>
      <c r="I332" s="336"/>
      <c r="J332" s="336">
        <f t="shared" si="15"/>
        <v>6344415.2136613373</v>
      </c>
    </row>
    <row r="333" spans="1:10">
      <c r="A333" s="303">
        <v>41</v>
      </c>
      <c r="B333" s="307" t="s">
        <v>516</v>
      </c>
      <c r="C333" s="352" t="s">
        <v>328</v>
      </c>
      <c r="D333" s="355">
        <v>1.85</v>
      </c>
      <c r="E333" s="342"/>
      <c r="F333" s="342">
        <f t="shared" si="16"/>
        <v>1.85</v>
      </c>
      <c r="G333" s="336">
        <v>1913905.107270387</v>
      </c>
      <c r="H333" s="336">
        <f t="shared" si="14"/>
        <v>3540724.4484502161</v>
      </c>
      <c r="I333" s="336"/>
      <c r="J333" s="336">
        <f t="shared" si="15"/>
        <v>3540724.4484502161</v>
      </c>
    </row>
    <row r="334" spans="1:10" ht="34.5">
      <c r="A334" s="311"/>
      <c r="B334" s="312" t="s">
        <v>598</v>
      </c>
      <c r="C334" s="370" t="s">
        <v>318</v>
      </c>
      <c r="D334" s="355">
        <v>0</v>
      </c>
      <c r="E334" s="342"/>
      <c r="F334" s="342">
        <f t="shared" si="16"/>
        <v>0</v>
      </c>
      <c r="G334" s="336">
        <v>0</v>
      </c>
      <c r="H334" s="336">
        <f t="shared" si="14"/>
        <v>0</v>
      </c>
      <c r="I334" s="336"/>
      <c r="J334" s="336">
        <f t="shared" si="15"/>
        <v>0</v>
      </c>
    </row>
    <row r="335" spans="1:10">
      <c r="A335" s="314"/>
      <c r="B335" s="312" t="s">
        <v>599</v>
      </c>
      <c r="C335" s="370" t="s">
        <v>318</v>
      </c>
      <c r="D335" s="355">
        <v>0</v>
      </c>
      <c r="E335" s="342"/>
      <c r="F335" s="342">
        <f t="shared" si="16"/>
        <v>0</v>
      </c>
      <c r="G335" s="336">
        <v>0</v>
      </c>
      <c r="H335" s="336">
        <f t="shared" ref="H335:H398" si="17">D335*G335</f>
        <v>0</v>
      </c>
      <c r="I335" s="336"/>
      <c r="J335" s="336">
        <f t="shared" ref="J335:J398" si="18">F335*G335</f>
        <v>0</v>
      </c>
    </row>
    <row r="336" spans="1:10">
      <c r="A336" s="305">
        <v>42</v>
      </c>
      <c r="B336" s="309" t="s">
        <v>368</v>
      </c>
      <c r="C336" s="352" t="s">
        <v>323</v>
      </c>
      <c r="D336" s="355">
        <v>5.77</v>
      </c>
      <c r="E336" s="342"/>
      <c r="F336" s="342">
        <f t="shared" si="16"/>
        <v>5.77</v>
      </c>
      <c r="G336" s="336">
        <v>2051880.3465472069</v>
      </c>
      <c r="H336" s="336">
        <f t="shared" si="17"/>
        <v>11839349.599577382</v>
      </c>
      <c r="I336" s="336"/>
      <c r="J336" s="336">
        <f t="shared" si="18"/>
        <v>11839349.599577382</v>
      </c>
    </row>
    <row r="337" spans="1:10">
      <c r="A337" s="305">
        <v>43</v>
      </c>
      <c r="B337" s="309" t="s">
        <v>369</v>
      </c>
      <c r="C337" s="352" t="s">
        <v>504</v>
      </c>
      <c r="D337" s="355">
        <v>0.14699999999999999</v>
      </c>
      <c r="E337" s="342"/>
      <c r="F337" s="342">
        <f t="shared" si="16"/>
        <v>0.14699999999999999</v>
      </c>
      <c r="G337" s="336">
        <v>23642582.73910309</v>
      </c>
      <c r="H337" s="336">
        <f t="shared" si="17"/>
        <v>3475459.662648154</v>
      </c>
      <c r="I337" s="336"/>
      <c r="J337" s="336">
        <f t="shared" si="18"/>
        <v>3475459.662648154</v>
      </c>
    </row>
    <row r="338" spans="1:10">
      <c r="A338" s="305">
        <v>44</v>
      </c>
      <c r="B338" s="309" t="s">
        <v>370</v>
      </c>
      <c r="C338" s="352" t="s">
        <v>504</v>
      </c>
      <c r="D338" s="355">
        <v>0.64900000000000002</v>
      </c>
      <c r="E338" s="342"/>
      <c r="F338" s="342">
        <f t="shared" si="16"/>
        <v>0.64900000000000002</v>
      </c>
      <c r="G338" s="336">
        <v>22847031.418649137</v>
      </c>
      <c r="H338" s="336">
        <f t="shared" si="17"/>
        <v>14827723.390703291</v>
      </c>
      <c r="I338" s="336"/>
      <c r="J338" s="336">
        <f t="shared" si="18"/>
        <v>14827723.390703291</v>
      </c>
    </row>
    <row r="339" spans="1:10">
      <c r="A339" s="305">
        <v>45</v>
      </c>
      <c r="B339" s="307" t="s">
        <v>371</v>
      </c>
      <c r="C339" s="352" t="s">
        <v>319</v>
      </c>
      <c r="D339" s="355">
        <v>0.27600000000000002</v>
      </c>
      <c r="E339" s="342"/>
      <c r="F339" s="342">
        <f t="shared" si="16"/>
        <v>0.27600000000000002</v>
      </c>
      <c r="G339" s="336">
        <v>7047065.69649731</v>
      </c>
      <c r="H339" s="336">
        <f t="shared" si="17"/>
        <v>1944990.1322332576</v>
      </c>
      <c r="I339" s="336"/>
      <c r="J339" s="336">
        <f t="shared" si="18"/>
        <v>1944990.1322332576</v>
      </c>
    </row>
    <row r="340" spans="1:10">
      <c r="A340" s="305">
        <v>46</v>
      </c>
      <c r="B340" s="309" t="s">
        <v>372</v>
      </c>
      <c r="C340" s="352" t="s">
        <v>504</v>
      </c>
      <c r="D340" s="355">
        <v>2E-3</v>
      </c>
      <c r="E340" s="342"/>
      <c r="F340" s="342">
        <f t="shared" si="16"/>
        <v>2E-3</v>
      </c>
      <c r="G340" s="336">
        <v>30419744.91335446</v>
      </c>
      <c r="H340" s="336">
        <f t="shared" si="17"/>
        <v>60839.489826708923</v>
      </c>
      <c r="I340" s="336"/>
      <c r="J340" s="336">
        <f t="shared" si="18"/>
        <v>60839.489826708923</v>
      </c>
    </row>
    <row r="341" spans="1:10">
      <c r="A341" s="305">
        <v>47</v>
      </c>
      <c r="B341" s="309" t="s">
        <v>373</v>
      </c>
      <c r="C341" s="352" t="s">
        <v>504</v>
      </c>
      <c r="D341" s="355">
        <v>2E-3</v>
      </c>
      <c r="E341" s="342"/>
      <c r="F341" s="342">
        <f t="shared" si="16"/>
        <v>2E-3</v>
      </c>
      <c r="G341" s="336">
        <v>4878166.8901956873</v>
      </c>
      <c r="H341" s="336">
        <f t="shared" si="17"/>
        <v>9756.3337803913746</v>
      </c>
      <c r="I341" s="336"/>
      <c r="J341" s="336">
        <f t="shared" si="18"/>
        <v>9756.3337803913746</v>
      </c>
    </row>
    <row r="342" spans="1:10">
      <c r="A342" s="314"/>
      <c r="B342" s="312" t="s">
        <v>532</v>
      </c>
      <c r="C342" s="370"/>
      <c r="D342" s="355">
        <v>0</v>
      </c>
      <c r="E342" s="342"/>
      <c r="F342" s="342">
        <f t="shared" si="16"/>
        <v>0</v>
      </c>
      <c r="G342" s="336">
        <v>0</v>
      </c>
      <c r="H342" s="336">
        <f t="shared" si="17"/>
        <v>0</v>
      </c>
      <c r="I342" s="336"/>
      <c r="J342" s="336">
        <f t="shared" si="18"/>
        <v>0</v>
      </c>
    </row>
    <row r="343" spans="1:10" ht="33">
      <c r="A343" s="303">
        <v>48</v>
      </c>
      <c r="B343" s="307" t="s">
        <v>374</v>
      </c>
      <c r="C343" s="372" t="s">
        <v>600</v>
      </c>
      <c r="D343" s="355">
        <v>8</v>
      </c>
      <c r="E343" s="342"/>
      <c r="F343" s="342">
        <f t="shared" si="16"/>
        <v>8</v>
      </c>
      <c r="G343" s="336">
        <v>80262.212258316024</v>
      </c>
      <c r="H343" s="336">
        <f t="shared" si="17"/>
        <v>642097.69806652819</v>
      </c>
      <c r="I343" s="336"/>
      <c r="J343" s="336">
        <f t="shared" si="18"/>
        <v>642097.69806652819</v>
      </c>
    </row>
    <row r="344" spans="1:10" ht="33">
      <c r="A344" s="303">
        <v>49</v>
      </c>
      <c r="B344" s="309" t="s">
        <v>534</v>
      </c>
      <c r="C344" s="352" t="s">
        <v>324</v>
      </c>
      <c r="D344" s="355">
        <v>0.93600000000000005</v>
      </c>
      <c r="E344" s="342"/>
      <c r="F344" s="342">
        <f t="shared" si="16"/>
        <v>0.93600000000000005</v>
      </c>
      <c r="G344" s="336">
        <v>23233178.124883048</v>
      </c>
      <c r="H344" s="336">
        <f t="shared" si="17"/>
        <v>21746254.724890534</v>
      </c>
      <c r="I344" s="336"/>
      <c r="J344" s="336">
        <f t="shared" si="18"/>
        <v>21746254.724890534</v>
      </c>
    </row>
    <row r="345" spans="1:10" ht="33">
      <c r="A345" s="303">
        <v>50</v>
      </c>
      <c r="B345" s="309" t="s">
        <v>535</v>
      </c>
      <c r="C345" s="352" t="s">
        <v>324</v>
      </c>
      <c r="D345" s="355">
        <v>0.104</v>
      </c>
      <c r="E345" s="342"/>
      <c r="F345" s="342">
        <f t="shared" ref="F345:F408" si="19">D345</f>
        <v>0.104</v>
      </c>
      <c r="G345" s="336">
        <v>24394837.12237905</v>
      </c>
      <c r="H345" s="336">
        <f t="shared" si="17"/>
        <v>2537063.0607274212</v>
      </c>
      <c r="I345" s="336"/>
      <c r="J345" s="336">
        <f t="shared" si="18"/>
        <v>2537063.0607274212</v>
      </c>
    </row>
    <row r="346" spans="1:10">
      <c r="A346" s="303">
        <v>51</v>
      </c>
      <c r="B346" s="307" t="s">
        <v>375</v>
      </c>
      <c r="C346" s="352" t="s">
        <v>324</v>
      </c>
      <c r="D346" s="355">
        <v>0.104</v>
      </c>
      <c r="E346" s="342"/>
      <c r="F346" s="342">
        <f t="shared" si="19"/>
        <v>0.104</v>
      </c>
      <c r="G346" s="336">
        <v>10347238.214029023</v>
      </c>
      <c r="H346" s="336">
        <f t="shared" si="17"/>
        <v>1076112.7742590185</v>
      </c>
      <c r="I346" s="336"/>
      <c r="J346" s="336">
        <f t="shared" si="18"/>
        <v>1076112.7742590185</v>
      </c>
    </row>
    <row r="347" spans="1:10">
      <c r="A347" s="303">
        <v>52</v>
      </c>
      <c r="B347" s="307" t="s">
        <v>376</v>
      </c>
      <c r="C347" s="352" t="s">
        <v>504</v>
      </c>
      <c r="D347" s="355">
        <v>0.96299999999999997</v>
      </c>
      <c r="E347" s="342"/>
      <c r="F347" s="342">
        <f t="shared" si="19"/>
        <v>0.96299999999999997</v>
      </c>
      <c r="G347" s="336">
        <v>4852428.5134319821</v>
      </c>
      <c r="H347" s="336">
        <f t="shared" si="17"/>
        <v>4672888.6584349982</v>
      </c>
      <c r="I347" s="336"/>
      <c r="J347" s="336">
        <f t="shared" si="18"/>
        <v>4672888.6584349982</v>
      </c>
    </row>
    <row r="348" spans="1:10">
      <c r="A348" s="303">
        <v>53</v>
      </c>
      <c r="B348" s="307" t="s">
        <v>377</v>
      </c>
      <c r="C348" s="352" t="s">
        <v>504</v>
      </c>
      <c r="D348" s="355">
        <v>0.15</v>
      </c>
      <c r="E348" s="342"/>
      <c r="F348" s="342">
        <f t="shared" si="19"/>
        <v>0.15</v>
      </c>
      <c r="G348" s="336">
        <v>20173128.903969545</v>
      </c>
      <c r="H348" s="336">
        <f t="shared" si="17"/>
        <v>3025969.3355954317</v>
      </c>
      <c r="I348" s="336"/>
      <c r="J348" s="336">
        <f t="shared" si="18"/>
        <v>3025969.3355954317</v>
      </c>
    </row>
    <row r="349" spans="1:10">
      <c r="A349" s="303">
        <v>54</v>
      </c>
      <c r="B349" s="307" t="s">
        <v>272</v>
      </c>
      <c r="C349" s="352" t="s">
        <v>504</v>
      </c>
      <c r="D349" s="355">
        <v>0.81299999999999994</v>
      </c>
      <c r="E349" s="342"/>
      <c r="F349" s="342">
        <f t="shared" si="19"/>
        <v>0.81299999999999994</v>
      </c>
      <c r="G349" s="336">
        <v>17575289.921161499</v>
      </c>
      <c r="H349" s="336">
        <f t="shared" si="17"/>
        <v>14288710.705904298</v>
      </c>
      <c r="I349" s="336"/>
      <c r="J349" s="336">
        <f t="shared" si="18"/>
        <v>14288710.705904298</v>
      </c>
    </row>
    <row r="350" spans="1:10">
      <c r="A350" s="303">
        <v>55</v>
      </c>
      <c r="B350" s="307" t="s">
        <v>378</v>
      </c>
      <c r="C350" s="352" t="s">
        <v>323</v>
      </c>
      <c r="D350" s="355">
        <v>0.1</v>
      </c>
      <c r="E350" s="342"/>
      <c r="F350" s="342">
        <f t="shared" si="19"/>
        <v>0.1</v>
      </c>
      <c r="G350" s="336">
        <v>1754760.0458052719</v>
      </c>
      <c r="H350" s="336">
        <f t="shared" si="17"/>
        <v>175476.00458052719</v>
      </c>
      <c r="I350" s="336"/>
      <c r="J350" s="336">
        <f t="shared" si="18"/>
        <v>175476.00458052719</v>
      </c>
    </row>
    <row r="351" spans="1:10">
      <c r="A351" s="314"/>
      <c r="B351" s="312" t="s">
        <v>601</v>
      </c>
      <c r="C351" s="370"/>
      <c r="D351" s="355">
        <v>0</v>
      </c>
      <c r="E351" s="342"/>
      <c r="F351" s="342">
        <f t="shared" si="19"/>
        <v>0</v>
      </c>
      <c r="G351" s="336">
        <v>0</v>
      </c>
      <c r="H351" s="336">
        <f t="shared" si="17"/>
        <v>0</v>
      </c>
      <c r="I351" s="336"/>
      <c r="J351" s="336">
        <f t="shared" si="18"/>
        <v>0</v>
      </c>
    </row>
    <row r="352" spans="1:10" ht="33">
      <c r="A352" s="305">
        <v>56</v>
      </c>
      <c r="B352" s="309" t="s">
        <v>536</v>
      </c>
      <c r="C352" s="352" t="s">
        <v>324</v>
      </c>
      <c r="D352" s="355">
        <v>0.56000000000000005</v>
      </c>
      <c r="E352" s="342"/>
      <c r="F352" s="342">
        <f t="shared" si="19"/>
        <v>0.56000000000000005</v>
      </c>
      <c r="G352" s="336">
        <v>25694940.15035215</v>
      </c>
      <c r="H352" s="336">
        <f t="shared" si="17"/>
        <v>14389166.484197205</v>
      </c>
      <c r="I352" s="336"/>
      <c r="J352" s="336">
        <f t="shared" si="18"/>
        <v>14389166.484197205</v>
      </c>
    </row>
    <row r="353" spans="1:10" ht="33">
      <c r="A353" s="305">
        <v>57</v>
      </c>
      <c r="B353" s="309" t="s">
        <v>537</v>
      </c>
      <c r="C353" s="352" t="s">
        <v>324</v>
      </c>
      <c r="D353" s="355">
        <v>0.4</v>
      </c>
      <c r="E353" s="342"/>
      <c r="F353" s="342">
        <f t="shared" si="19"/>
        <v>0.4</v>
      </c>
      <c r="G353" s="336">
        <v>19271205.295267828</v>
      </c>
      <c r="H353" s="336">
        <f t="shared" si="17"/>
        <v>7708482.1181071317</v>
      </c>
      <c r="I353" s="336"/>
      <c r="J353" s="336">
        <f t="shared" si="18"/>
        <v>7708482.1181071317</v>
      </c>
    </row>
    <row r="354" spans="1:10" ht="33">
      <c r="A354" s="305">
        <v>58</v>
      </c>
      <c r="B354" s="307" t="s">
        <v>538</v>
      </c>
      <c r="C354" s="352" t="s">
        <v>504</v>
      </c>
      <c r="D354" s="355">
        <v>1.752</v>
      </c>
      <c r="E354" s="342"/>
      <c r="F354" s="342">
        <f t="shared" si="19"/>
        <v>1.752</v>
      </c>
      <c r="G354" s="336">
        <v>942085.11981537775</v>
      </c>
      <c r="H354" s="336">
        <f t="shared" si="17"/>
        <v>1650533.1299165417</v>
      </c>
      <c r="I354" s="336"/>
      <c r="J354" s="336">
        <f t="shared" si="18"/>
        <v>1650533.1299165417</v>
      </c>
    </row>
    <row r="355" spans="1:10">
      <c r="A355" s="305">
        <v>59</v>
      </c>
      <c r="B355" s="307" t="s">
        <v>380</v>
      </c>
      <c r="C355" s="352" t="s">
        <v>504</v>
      </c>
      <c r="D355" s="355">
        <v>0.59199999999999997</v>
      </c>
      <c r="E355" s="342"/>
      <c r="F355" s="342">
        <f t="shared" si="19"/>
        <v>0.59199999999999997</v>
      </c>
      <c r="G355" s="336">
        <v>9410025.444333382</v>
      </c>
      <c r="H355" s="336">
        <f t="shared" si="17"/>
        <v>5570735.063045362</v>
      </c>
      <c r="I355" s="336"/>
      <c r="J355" s="336">
        <f t="shared" si="18"/>
        <v>5570735.063045362</v>
      </c>
    </row>
    <row r="356" spans="1:10">
      <c r="A356" s="303"/>
      <c r="B356" s="312" t="s">
        <v>539</v>
      </c>
      <c r="C356" s="352"/>
      <c r="D356" s="340">
        <v>0</v>
      </c>
      <c r="E356" s="342"/>
      <c r="F356" s="342">
        <f t="shared" si="19"/>
        <v>0</v>
      </c>
      <c r="G356" s="336">
        <v>0</v>
      </c>
      <c r="H356" s="336">
        <f t="shared" si="17"/>
        <v>0</v>
      </c>
      <c r="I356" s="336"/>
      <c r="J356" s="336">
        <f t="shared" si="18"/>
        <v>0</v>
      </c>
    </row>
    <row r="357" spans="1:10" ht="33">
      <c r="A357" s="303">
        <v>60</v>
      </c>
      <c r="B357" s="307" t="s">
        <v>541</v>
      </c>
      <c r="C357" s="352" t="s">
        <v>504</v>
      </c>
      <c r="D357" s="355">
        <v>0.25800000000000001</v>
      </c>
      <c r="E357" s="342"/>
      <c r="F357" s="342">
        <f t="shared" si="19"/>
        <v>0.25800000000000001</v>
      </c>
      <c r="G357" s="336">
        <v>3227700.6246351269</v>
      </c>
      <c r="H357" s="336">
        <f t="shared" si="17"/>
        <v>832746.76115586271</v>
      </c>
      <c r="I357" s="336"/>
      <c r="J357" s="336">
        <f t="shared" si="18"/>
        <v>832746.76115586271</v>
      </c>
    </row>
    <row r="358" spans="1:10" ht="33">
      <c r="A358" s="303">
        <v>61</v>
      </c>
      <c r="B358" s="307" t="s">
        <v>541</v>
      </c>
      <c r="C358" s="352" t="s">
        <v>504</v>
      </c>
      <c r="D358" s="355">
        <v>0.184</v>
      </c>
      <c r="E358" s="342"/>
      <c r="F358" s="342">
        <f t="shared" si="19"/>
        <v>0.184</v>
      </c>
      <c r="G358" s="336">
        <v>3227700.6246351269</v>
      </c>
      <c r="H358" s="336">
        <f t="shared" si="17"/>
        <v>593896.91493286332</v>
      </c>
      <c r="I358" s="336"/>
      <c r="J358" s="336">
        <f t="shared" si="18"/>
        <v>593896.91493286332</v>
      </c>
    </row>
    <row r="359" spans="1:10" ht="33">
      <c r="A359" s="303">
        <v>62</v>
      </c>
      <c r="B359" s="307" t="s">
        <v>542</v>
      </c>
      <c r="C359" s="352" t="s">
        <v>504</v>
      </c>
      <c r="D359" s="355">
        <v>0.107</v>
      </c>
      <c r="E359" s="342"/>
      <c r="F359" s="342">
        <f t="shared" si="19"/>
        <v>0.107</v>
      </c>
      <c r="G359" s="336">
        <v>6051938.6711908635</v>
      </c>
      <c r="H359" s="336">
        <f t="shared" si="17"/>
        <v>647557.43781742232</v>
      </c>
      <c r="I359" s="336"/>
      <c r="J359" s="336">
        <f t="shared" si="18"/>
        <v>647557.43781742232</v>
      </c>
    </row>
    <row r="360" spans="1:10" ht="33">
      <c r="A360" s="303">
        <v>63</v>
      </c>
      <c r="B360" s="307" t="s">
        <v>602</v>
      </c>
      <c r="C360" s="352" t="s">
        <v>504</v>
      </c>
      <c r="D360" s="355">
        <v>3.6999999999999998E-2</v>
      </c>
      <c r="E360" s="342"/>
      <c r="F360" s="342">
        <f t="shared" si="19"/>
        <v>3.6999999999999998E-2</v>
      </c>
      <c r="G360" s="336">
        <v>11700414.764302336</v>
      </c>
      <c r="H360" s="336">
        <f t="shared" si="17"/>
        <v>432915.34627918637</v>
      </c>
      <c r="I360" s="336"/>
      <c r="J360" s="336">
        <f t="shared" si="18"/>
        <v>432915.34627918637</v>
      </c>
    </row>
    <row r="361" spans="1:10" ht="33">
      <c r="A361" s="303">
        <v>64</v>
      </c>
      <c r="B361" s="307" t="s">
        <v>603</v>
      </c>
      <c r="C361" s="352" t="s">
        <v>504</v>
      </c>
      <c r="D361" s="355">
        <v>6.0000000000000001E-3</v>
      </c>
      <c r="E361" s="342"/>
      <c r="F361" s="342">
        <f t="shared" si="19"/>
        <v>6.0000000000000001E-3</v>
      </c>
      <c r="G361" s="336">
        <v>11700414.764302336</v>
      </c>
      <c r="H361" s="336">
        <f t="shared" si="17"/>
        <v>70202.488585814019</v>
      </c>
      <c r="I361" s="336"/>
      <c r="J361" s="336">
        <f t="shared" si="18"/>
        <v>70202.488585814019</v>
      </c>
    </row>
    <row r="362" spans="1:10">
      <c r="A362" s="303">
        <v>65</v>
      </c>
      <c r="B362" s="307" t="s">
        <v>364</v>
      </c>
      <c r="C362" s="352" t="s">
        <v>504</v>
      </c>
      <c r="D362" s="355">
        <v>2.3439999999999999</v>
      </c>
      <c r="E362" s="342"/>
      <c r="F362" s="342">
        <f t="shared" si="19"/>
        <v>2.3439999999999999</v>
      </c>
      <c r="G362" s="336">
        <v>6080313.1193965599</v>
      </c>
      <c r="H362" s="336">
        <f t="shared" si="17"/>
        <v>14252253.951865535</v>
      </c>
      <c r="I362" s="336"/>
      <c r="J362" s="336">
        <f t="shared" si="18"/>
        <v>14252253.951865535</v>
      </c>
    </row>
    <row r="363" spans="1:10">
      <c r="A363" s="303">
        <v>66</v>
      </c>
      <c r="B363" s="307" t="s">
        <v>365</v>
      </c>
      <c r="C363" s="352" t="s">
        <v>504</v>
      </c>
      <c r="D363" s="355">
        <v>2.3439999999999999</v>
      </c>
      <c r="E363" s="342"/>
      <c r="F363" s="342">
        <f t="shared" si="19"/>
        <v>2.3439999999999999</v>
      </c>
      <c r="G363" s="336">
        <v>3640153.3282428598</v>
      </c>
      <c r="H363" s="336">
        <f t="shared" si="17"/>
        <v>8532519.4014012627</v>
      </c>
      <c r="I363" s="336"/>
      <c r="J363" s="336">
        <f t="shared" si="18"/>
        <v>8532519.4014012627</v>
      </c>
    </row>
    <row r="364" spans="1:10">
      <c r="A364" s="303">
        <v>67</v>
      </c>
      <c r="B364" s="307" t="s">
        <v>366</v>
      </c>
      <c r="C364" s="352" t="s">
        <v>324</v>
      </c>
      <c r="D364" s="355">
        <v>0.56000000000000005</v>
      </c>
      <c r="E364" s="342"/>
      <c r="F364" s="342">
        <f t="shared" si="19"/>
        <v>0.56000000000000005</v>
      </c>
      <c r="G364" s="336">
        <v>10347238.214029023</v>
      </c>
      <c r="H364" s="336">
        <f t="shared" si="17"/>
        <v>5794453.3998562535</v>
      </c>
      <c r="I364" s="336"/>
      <c r="J364" s="336">
        <f t="shared" si="18"/>
        <v>5794453.3998562535</v>
      </c>
    </row>
    <row r="365" spans="1:10">
      <c r="A365" s="311"/>
      <c r="B365" s="312" t="s">
        <v>604</v>
      </c>
      <c r="C365" s="370" t="s">
        <v>318</v>
      </c>
      <c r="D365" s="355">
        <v>0</v>
      </c>
      <c r="E365" s="342"/>
      <c r="F365" s="342">
        <f t="shared" si="19"/>
        <v>0</v>
      </c>
      <c r="G365" s="336">
        <v>0</v>
      </c>
      <c r="H365" s="336">
        <f t="shared" si="17"/>
        <v>0</v>
      </c>
      <c r="I365" s="336"/>
      <c r="J365" s="336">
        <f t="shared" si="18"/>
        <v>0</v>
      </c>
    </row>
    <row r="366" spans="1:10">
      <c r="A366" s="305">
        <v>68</v>
      </c>
      <c r="B366" s="309" t="s">
        <v>605</v>
      </c>
      <c r="C366" s="352" t="s">
        <v>320</v>
      </c>
      <c r="D366" s="355">
        <v>0.61899999999999999</v>
      </c>
      <c r="E366" s="342"/>
      <c r="F366" s="342">
        <f t="shared" si="19"/>
        <v>0.61899999999999999</v>
      </c>
      <c r="G366" s="336">
        <v>869256.05268892506</v>
      </c>
      <c r="H366" s="336">
        <f t="shared" si="17"/>
        <v>538069.49661444465</v>
      </c>
      <c r="I366" s="336"/>
      <c r="J366" s="336">
        <f t="shared" si="18"/>
        <v>538069.49661444465</v>
      </c>
    </row>
    <row r="367" spans="1:10">
      <c r="A367" s="305">
        <v>69</v>
      </c>
      <c r="B367" s="307" t="s">
        <v>384</v>
      </c>
      <c r="C367" s="352" t="s">
        <v>30</v>
      </c>
      <c r="D367" s="355">
        <v>86.18</v>
      </c>
      <c r="E367" s="342"/>
      <c r="F367" s="342">
        <f t="shared" si="19"/>
        <v>86.18</v>
      </c>
      <c r="G367" s="336">
        <v>125964.79169214601</v>
      </c>
      <c r="H367" s="336">
        <f t="shared" si="17"/>
        <v>10855645.748029144</v>
      </c>
      <c r="I367" s="336"/>
      <c r="J367" s="336">
        <f t="shared" si="18"/>
        <v>10855645.748029144</v>
      </c>
    </row>
    <row r="368" spans="1:10">
      <c r="A368" s="305">
        <v>70</v>
      </c>
      <c r="B368" s="307" t="s">
        <v>519</v>
      </c>
      <c r="C368" s="352" t="s">
        <v>320</v>
      </c>
      <c r="D368" s="355">
        <v>6.6470000000000002</v>
      </c>
      <c r="E368" s="342"/>
      <c r="F368" s="342">
        <f t="shared" si="19"/>
        <v>6.6470000000000002</v>
      </c>
      <c r="G368" s="336">
        <v>1972724.2284497223</v>
      </c>
      <c r="H368" s="336">
        <f t="shared" si="17"/>
        <v>13112697.946505304</v>
      </c>
      <c r="I368" s="336"/>
      <c r="J368" s="336">
        <f t="shared" si="18"/>
        <v>13112697.946505304</v>
      </c>
    </row>
    <row r="369" spans="1:10" ht="34.5">
      <c r="A369" s="303"/>
      <c r="B369" s="312" t="s">
        <v>606</v>
      </c>
      <c r="C369" s="352"/>
      <c r="D369" s="355">
        <v>0</v>
      </c>
      <c r="E369" s="342"/>
      <c r="F369" s="342">
        <f t="shared" si="19"/>
        <v>0</v>
      </c>
      <c r="G369" s="336">
        <v>0</v>
      </c>
      <c r="H369" s="336">
        <f t="shared" si="17"/>
        <v>0</v>
      </c>
      <c r="I369" s="336"/>
      <c r="J369" s="336">
        <f t="shared" si="18"/>
        <v>0</v>
      </c>
    </row>
    <row r="370" spans="1:10" ht="33">
      <c r="A370" s="303">
        <v>71</v>
      </c>
      <c r="B370" s="313" t="s">
        <v>521</v>
      </c>
      <c r="C370" s="352" t="s">
        <v>70</v>
      </c>
      <c r="D370" s="355">
        <v>6.4020000000000001</v>
      </c>
      <c r="E370" s="342"/>
      <c r="F370" s="342">
        <f t="shared" si="19"/>
        <v>6.4020000000000001</v>
      </c>
      <c r="G370" s="336">
        <v>641833.43269227596</v>
      </c>
      <c r="H370" s="336">
        <f t="shared" si="17"/>
        <v>4109017.6360959508</v>
      </c>
      <c r="I370" s="336"/>
      <c r="J370" s="336">
        <f t="shared" si="18"/>
        <v>4109017.6360959508</v>
      </c>
    </row>
    <row r="371" spans="1:10" ht="33">
      <c r="A371" s="303">
        <v>72</v>
      </c>
      <c r="B371" s="313" t="s">
        <v>522</v>
      </c>
      <c r="C371" s="352" t="s">
        <v>70</v>
      </c>
      <c r="D371" s="355">
        <v>6.4020000000000001</v>
      </c>
      <c r="E371" s="342"/>
      <c r="F371" s="342">
        <f t="shared" si="19"/>
        <v>6.4020000000000001</v>
      </c>
      <c r="G371" s="336">
        <v>2721373.5550778592</v>
      </c>
      <c r="H371" s="336">
        <f t="shared" si="17"/>
        <v>17422233.499608453</v>
      </c>
      <c r="I371" s="336"/>
      <c r="J371" s="336">
        <f t="shared" si="18"/>
        <v>17422233.499608453</v>
      </c>
    </row>
    <row r="372" spans="1:10" ht="33">
      <c r="A372" s="303">
        <v>73</v>
      </c>
      <c r="B372" s="313" t="s">
        <v>523</v>
      </c>
      <c r="C372" s="352" t="s">
        <v>70</v>
      </c>
      <c r="D372" s="355">
        <v>6.4020000000000001</v>
      </c>
      <c r="E372" s="342"/>
      <c r="F372" s="342">
        <f t="shared" si="19"/>
        <v>6.4020000000000001</v>
      </c>
      <c r="G372" s="336">
        <v>6829107.2323024878</v>
      </c>
      <c r="H372" s="336">
        <f t="shared" si="17"/>
        <v>43719944.501200527</v>
      </c>
      <c r="I372" s="336"/>
      <c r="J372" s="336">
        <f t="shared" si="18"/>
        <v>43719944.501200527</v>
      </c>
    </row>
    <row r="373" spans="1:10" ht="33">
      <c r="A373" s="303">
        <v>74</v>
      </c>
      <c r="B373" s="313" t="s">
        <v>524</v>
      </c>
      <c r="C373" s="352" t="s">
        <v>70</v>
      </c>
      <c r="D373" s="355">
        <v>6.4020000000000001</v>
      </c>
      <c r="E373" s="342"/>
      <c r="F373" s="342">
        <f t="shared" si="19"/>
        <v>6.4020000000000001</v>
      </c>
      <c r="G373" s="336">
        <v>944778.76522872702</v>
      </c>
      <c r="H373" s="336">
        <f t="shared" si="17"/>
        <v>6048473.6549943108</v>
      </c>
      <c r="I373" s="336"/>
      <c r="J373" s="336">
        <f t="shared" si="18"/>
        <v>6048473.6549943108</v>
      </c>
    </row>
    <row r="374" spans="1:10">
      <c r="A374" s="303">
        <v>75</v>
      </c>
      <c r="B374" s="307" t="s">
        <v>385</v>
      </c>
      <c r="C374" s="352" t="s">
        <v>322</v>
      </c>
      <c r="D374" s="355">
        <v>6.4020000000000001</v>
      </c>
      <c r="E374" s="342"/>
      <c r="F374" s="342">
        <f t="shared" si="19"/>
        <v>6.4020000000000001</v>
      </c>
      <c r="G374" s="336">
        <v>216467.65221015</v>
      </c>
      <c r="H374" s="336">
        <f t="shared" si="17"/>
        <v>1385825.9094493804</v>
      </c>
      <c r="I374" s="336"/>
      <c r="J374" s="336">
        <f t="shared" si="18"/>
        <v>1385825.9094493804</v>
      </c>
    </row>
    <row r="375" spans="1:10" ht="33">
      <c r="A375" s="303">
        <v>76</v>
      </c>
      <c r="B375" s="309" t="s">
        <v>449</v>
      </c>
      <c r="C375" s="352" t="s">
        <v>320</v>
      </c>
      <c r="D375" s="355">
        <v>0.84</v>
      </c>
      <c r="E375" s="342"/>
      <c r="F375" s="342">
        <f t="shared" si="19"/>
        <v>0.84</v>
      </c>
      <c r="G375" s="336">
        <v>3782584.3348013824</v>
      </c>
      <c r="H375" s="336">
        <f t="shared" si="17"/>
        <v>3177370.8412331613</v>
      </c>
      <c r="I375" s="336"/>
      <c r="J375" s="336">
        <f t="shared" si="18"/>
        <v>3177370.8412331613</v>
      </c>
    </row>
    <row r="376" spans="1:10">
      <c r="A376" s="303">
        <v>77</v>
      </c>
      <c r="B376" s="309" t="s">
        <v>354</v>
      </c>
      <c r="C376" s="352" t="s">
        <v>320</v>
      </c>
      <c r="D376" s="355">
        <v>7.8410000000000002</v>
      </c>
      <c r="E376" s="342"/>
      <c r="F376" s="342">
        <f t="shared" si="19"/>
        <v>7.8410000000000002</v>
      </c>
      <c r="G376" s="336">
        <v>19155571.308668852</v>
      </c>
      <c r="H376" s="336">
        <f t="shared" si="17"/>
        <v>150198834.63127246</v>
      </c>
      <c r="I376" s="336"/>
      <c r="J376" s="336">
        <f t="shared" si="18"/>
        <v>150198834.63127246</v>
      </c>
    </row>
    <row r="377" spans="1:10">
      <c r="A377" s="303">
        <v>78</v>
      </c>
      <c r="B377" s="309" t="s">
        <v>607</v>
      </c>
      <c r="C377" s="352" t="s">
        <v>325</v>
      </c>
      <c r="D377" s="355">
        <v>4.5659999999999998</v>
      </c>
      <c r="E377" s="342"/>
      <c r="F377" s="342">
        <f t="shared" si="19"/>
        <v>4.5659999999999998</v>
      </c>
      <c r="G377" s="336">
        <v>2389507.7110639899</v>
      </c>
      <c r="H377" s="336">
        <f t="shared" si="17"/>
        <v>10910492.208718177</v>
      </c>
      <c r="I377" s="336"/>
      <c r="J377" s="336">
        <f t="shared" si="18"/>
        <v>10910492.208718177</v>
      </c>
    </row>
    <row r="378" spans="1:10">
      <c r="A378" s="303"/>
      <c r="B378" s="308" t="s">
        <v>526</v>
      </c>
      <c r="C378" s="352"/>
      <c r="D378" s="355">
        <v>0</v>
      </c>
      <c r="E378" s="342"/>
      <c r="F378" s="342">
        <f t="shared" si="19"/>
        <v>0</v>
      </c>
      <c r="G378" s="336">
        <v>0</v>
      </c>
      <c r="H378" s="336">
        <f t="shared" si="17"/>
        <v>0</v>
      </c>
      <c r="I378" s="336"/>
      <c r="J378" s="336">
        <f t="shared" si="18"/>
        <v>0</v>
      </c>
    </row>
    <row r="379" spans="1:10" ht="33">
      <c r="A379" s="305">
        <v>79</v>
      </c>
      <c r="B379" s="309" t="s">
        <v>527</v>
      </c>
      <c r="C379" s="352" t="s">
        <v>324</v>
      </c>
      <c r="D379" s="355">
        <v>1.56</v>
      </c>
      <c r="E379" s="342"/>
      <c r="F379" s="342">
        <f t="shared" si="19"/>
        <v>1.56</v>
      </c>
      <c r="G379" s="336">
        <v>99682971.680002213</v>
      </c>
      <c r="H379" s="336">
        <f t="shared" si="17"/>
        <v>155505435.82080346</v>
      </c>
      <c r="I379" s="336"/>
      <c r="J379" s="336">
        <f t="shared" si="18"/>
        <v>155505435.82080346</v>
      </c>
    </row>
    <row r="380" spans="1:10" ht="33">
      <c r="A380" s="305">
        <v>80</v>
      </c>
      <c r="B380" s="309" t="s">
        <v>528</v>
      </c>
      <c r="C380" s="352" t="s">
        <v>324</v>
      </c>
      <c r="D380" s="355">
        <v>0.96</v>
      </c>
      <c r="E380" s="342"/>
      <c r="F380" s="342">
        <f t="shared" si="19"/>
        <v>0.96</v>
      </c>
      <c r="G380" s="336">
        <v>99217726.040167078</v>
      </c>
      <c r="H380" s="336">
        <f t="shared" si="17"/>
        <v>95249016.998560399</v>
      </c>
      <c r="I380" s="336"/>
      <c r="J380" s="336">
        <f t="shared" si="18"/>
        <v>95249016.998560399</v>
      </c>
    </row>
    <row r="381" spans="1:10">
      <c r="A381" s="305"/>
      <c r="B381" s="308" t="s">
        <v>608</v>
      </c>
      <c r="C381" s="352"/>
      <c r="D381" s="355">
        <v>0</v>
      </c>
      <c r="E381" s="342"/>
      <c r="F381" s="342">
        <f t="shared" si="19"/>
        <v>0</v>
      </c>
      <c r="G381" s="336">
        <v>0</v>
      </c>
      <c r="H381" s="336">
        <f t="shared" si="17"/>
        <v>0</v>
      </c>
      <c r="I381" s="336"/>
      <c r="J381" s="336">
        <f t="shared" si="18"/>
        <v>0</v>
      </c>
    </row>
    <row r="382" spans="1:10">
      <c r="A382" s="311"/>
      <c r="B382" s="312" t="s">
        <v>546</v>
      </c>
      <c r="C382" s="352"/>
      <c r="D382" s="355">
        <v>0</v>
      </c>
      <c r="E382" s="342"/>
      <c r="F382" s="342">
        <f t="shared" si="19"/>
        <v>0</v>
      </c>
      <c r="G382" s="336">
        <v>0</v>
      </c>
      <c r="H382" s="336">
        <f t="shared" si="17"/>
        <v>0</v>
      </c>
      <c r="I382" s="336"/>
      <c r="J382" s="336">
        <f t="shared" si="18"/>
        <v>0</v>
      </c>
    </row>
    <row r="383" spans="1:10" ht="33">
      <c r="A383" s="305">
        <v>81</v>
      </c>
      <c r="B383" s="309" t="s">
        <v>387</v>
      </c>
      <c r="C383" s="352" t="s">
        <v>323</v>
      </c>
      <c r="D383" s="355">
        <v>63.91</v>
      </c>
      <c r="E383" s="342"/>
      <c r="F383" s="342">
        <f t="shared" si="19"/>
        <v>63.91</v>
      </c>
      <c r="G383" s="336">
        <v>2027464.7566844549</v>
      </c>
      <c r="H383" s="336">
        <f t="shared" si="17"/>
        <v>129575272.59970351</v>
      </c>
      <c r="I383" s="336"/>
      <c r="J383" s="336">
        <f t="shared" si="18"/>
        <v>129575272.59970351</v>
      </c>
    </row>
    <row r="384" spans="1:10" ht="33">
      <c r="A384" s="305">
        <v>82</v>
      </c>
      <c r="B384" s="309" t="s">
        <v>393</v>
      </c>
      <c r="C384" s="352" t="s">
        <v>323</v>
      </c>
      <c r="D384" s="355">
        <v>86.83</v>
      </c>
      <c r="E384" s="342"/>
      <c r="F384" s="342">
        <f t="shared" si="19"/>
        <v>86.83</v>
      </c>
      <c r="G384" s="336">
        <v>2608057.7646897146</v>
      </c>
      <c r="H384" s="336">
        <f t="shared" si="17"/>
        <v>226457655.70800793</v>
      </c>
      <c r="I384" s="336"/>
      <c r="J384" s="336">
        <f t="shared" si="18"/>
        <v>226457655.70800793</v>
      </c>
    </row>
    <row r="385" spans="1:10" ht="33">
      <c r="A385" s="305">
        <v>83</v>
      </c>
      <c r="B385" s="309" t="s">
        <v>403</v>
      </c>
      <c r="C385" s="352" t="s">
        <v>323</v>
      </c>
      <c r="D385" s="355">
        <v>7.95</v>
      </c>
      <c r="E385" s="342"/>
      <c r="F385" s="342">
        <f t="shared" si="19"/>
        <v>7.95</v>
      </c>
      <c r="G385" s="336">
        <v>2426266.6352811917</v>
      </c>
      <c r="H385" s="336">
        <f t="shared" si="17"/>
        <v>19288819.750485472</v>
      </c>
      <c r="I385" s="336"/>
      <c r="J385" s="336">
        <f t="shared" si="18"/>
        <v>19288819.750485472</v>
      </c>
    </row>
    <row r="386" spans="1:10" ht="33">
      <c r="A386" s="305">
        <v>84</v>
      </c>
      <c r="B386" s="309" t="s">
        <v>404</v>
      </c>
      <c r="C386" s="352" t="s">
        <v>323</v>
      </c>
      <c r="D386" s="355">
        <v>1.79</v>
      </c>
      <c r="E386" s="342"/>
      <c r="F386" s="342">
        <f t="shared" si="19"/>
        <v>1.79</v>
      </c>
      <c r="G386" s="336">
        <v>2913712.1823196714</v>
      </c>
      <c r="H386" s="336">
        <f t="shared" si="17"/>
        <v>5215544.8063522121</v>
      </c>
      <c r="I386" s="336"/>
      <c r="J386" s="336">
        <f t="shared" si="18"/>
        <v>5215544.8063522121</v>
      </c>
    </row>
    <row r="387" spans="1:10" ht="33">
      <c r="A387" s="305">
        <v>85</v>
      </c>
      <c r="B387" s="309" t="s">
        <v>548</v>
      </c>
      <c r="C387" s="352" t="s">
        <v>323</v>
      </c>
      <c r="D387" s="355">
        <v>1.93</v>
      </c>
      <c r="E387" s="342"/>
      <c r="F387" s="342">
        <f t="shared" si="19"/>
        <v>1.93</v>
      </c>
      <c r="G387" s="336">
        <v>2426266.6352811917</v>
      </c>
      <c r="H387" s="336">
        <f t="shared" si="17"/>
        <v>4682694.6060926998</v>
      </c>
      <c r="I387" s="336"/>
      <c r="J387" s="336">
        <f t="shared" si="18"/>
        <v>4682694.6060926998</v>
      </c>
    </row>
    <row r="388" spans="1:10">
      <c r="A388" s="305">
        <v>86</v>
      </c>
      <c r="B388" s="309" t="s">
        <v>388</v>
      </c>
      <c r="C388" s="352" t="s">
        <v>326</v>
      </c>
      <c r="D388" s="355">
        <v>166.47</v>
      </c>
      <c r="E388" s="342"/>
      <c r="F388" s="342">
        <f t="shared" si="19"/>
        <v>166.47</v>
      </c>
      <c r="G388" s="336">
        <v>30806.869839482002</v>
      </c>
      <c r="H388" s="336">
        <f t="shared" si="17"/>
        <v>5128419.6221785685</v>
      </c>
      <c r="I388" s="336"/>
      <c r="J388" s="336">
        <f t="shared" si="18"/>
        <v>5128419.6221785685</v>
      </c>
    </row>
    <row r="389" spans="1:10">
      <c r="A389" s="305">
        <v>87</v>
      </c>
      <c r="B389" s="307" t="s">
        <v>389</v>
      </c>
      <c r="C389" s="352" t="s">
        <v>328</v>
      </c>
      <c r="D389" s="355">
        <v>4.9800000000000004</v>
      </c>
      <c r="E389" s="342"/>
      <c r="F389" s="342">
        <f t="shared" si="19"/>
        <v>4.9800000000000004</v>
      </c>
      <c r="G389" s="336">
        <v>1453528.4231198058</v>
      </c>
      <c r="H389" s="336">
        <f t="shared" si="17"/>
        <v>7238571.5471366337</v>
      </c>
      <c r="I389" s="336"/>
      <c r="J389" s="336">
        <f t="shared" si="18"/>
        <v>7238571.5471366337</v>
      </c>
    </row>
    <row r="390" spans="1:10">
      <c r="A390" s="305">
        <v>88</v>
      </c>
      <c r="B390" s="309" t="s">
        <v>352</v>
      </c>
      <c r="C390" s="352" t="s">
        <v>324</v>
      </c>
      <c r="D390" s="355">
        <v>112.005</v>
      </c>
      <c r="E390" s="342"/>
      <c r="F390" s="342">
        <f t="shared" si="19"/>
        <v>112.005</v>
      </c>
      <c r="G390" s="336">
        <v>1528207.3601667725</v>
      </c>
      <c r="H390" s="336">
        <f t="shared" si="17"/>
        <v>171166865.37547934</v>
      </c>
      <c r="I390" s="336"/>
      <c r="J390" s="336">
        <f t="shared" si="18"/>
        <v>171166865.37547934</v>
      </c>
    </row>
    <row r="391" spans="1:10">
      <c r="A391" s="305">
        <v>89</v>
      </c>
      <c r="B391" s="309" t="s">
        <v>390</v>
      </c>
      <c r="C391" s="352" t="s">
        <v>504</v>
      </c>
      <c r="D391" s="355">
        <v>2.9980000000000002</v>
      </c>
      <c r="E391" s="342"/>
      <c r="F391" s="342">
        <f t="shared" si="19"/>
        <v>2.9980000000000002</v>
      </c>
      <c r="G391" s="336">
        <v>22959485.217240658</v>
      </c>
      <c r="H391" s="336">
        <f t="shared" si="17"/>
        <v>68832536.681287497</v>
      </c>
      <c r="I391" s="336"/>
      <c r="J391" s="336">
        <f t="shared" si="18"/>
        <v>68832536.681287497</v>
      </c>
    </row>
    <row r="392" spans="1:10">
      <c r="A392" s="305">
        <v>90</v>
      </c>
      <c r="B392" s="309" t="s">
        <v>394</v>
      </c>
      <c r="C392" s="352" t="s">
        <v>504</v>
      </c>
      <c r="D392" s="355">
        <v>7.1639999999999997</v>
      </c>
      <c r="E392" s="342"/>
      <c r="F392" s="342">
        <f t="shared" si="19"/>
        <v>7.1639999999999997</v>
      </c>
      <c r="G392" s="336">
        <v>23872760.678466823</v>
      </c>
      <c r="H392" s="336">
        <f t="shared" si="17"/>
        <v>171024457.50053632</v>
      </c>
      <c r="I392" s="336"/>
      <c r="J392" s="336">
        <f t="shared" si="18"/>
        <v>171024457.50053632</v>
      </c>
    </row>
    <row r="393" spans="1:10">
      <c r="A393" s="305">
        <v>91</v>
      </c>
      <c r="B393" s="309" t="s">
        <v>405</v>
      </c>
      <c r="C393" s="352" t="s">
        <v>504</v>
      </c>
      <c r="D393" s="355">
        <v>0.13100000000000001</v>
      </c>
      <c r="E393" s="342"/>
      <c r="F393" s="342">
        <f t="shared" si="19"/>
        <v>0.13100000000000001</v>
      </c>
      <c r="G393" s="336">
        <v>23731751.132482599</v>
      </c>
      <c r="H393" s="336">
        <f t="shared" si="17"/>
        <v>3108859.3983552204</v>
      </c>
      <c r="I393" s="336"/>
      <c r="J393" s="336">
        <f t="shared" si="18"/>
        <v>3108859.3983552204</v>
      </c>
    </row>
    <row r="394" spans="1:10">
      <c r="A394" s="305">
        <v>92</v>
      </c>
      <c r="B394" s="309" t="s">
        <v>407</v>
      </c>
      <c r="C394" s="352" t="s">
        <v>504</v>
      </c>
      <c r="D394" s="355">
        <v>1.1759999999999999</v>
      </c>
      <c r="E394" s="342"/>
      <c r="F394" s="342">
        <f t="shared" si="19"/>
        <v>1.1759999999999999</v>
      </c>
      <c r="G394" s="336">
        <v>23577316.613480441</v>
      </c>
      <c r="H394" s="336">
        <f t="shared" si="17"/>
        <v>27726924.337452997</v>
      </c>
      <c r="I394" s="336"/>
      <c r="J394" s="336">
        <f t="shared" si="18"/>
        <v>27726924.337452997</v>
      </c>
    </row>
    <row r="395" spans="1:10">
      <c r="A395" s="305">
        <v>93</v>
      </c>
      <c r="B395" s="307" t="s">
        <v>392</v>
      </c>
      <c r="C395" s="352" t="s">
        <v>329</v>
      </c>
      <c r="D395" s="355">
        <v>0.54200000000000004</v>
      </c>
      <c r="E395" s="342"/>
      <c r="F395" s="342">
        <f t="shared" si="19"/>
        <v>0.54200000000000004</v>
      </c>
      <c r="G395" s="336">
        <v>4683274.2184133623</v>
      </c>
      <c r="H395" s="336">
        <f t="shared" si="17"/>
        <v>2538334.6263800426</v>
      </c>
      <c r="I395" s="336"/>
      <c r="J395" s="336">
        <f t="shared" si="18"/>
        <v>2538334.6263800426</v>
      </c>
    </row>
    <row r="396" spans="1:10">
      <c r="A396" s="305">
        <v>94</v>
      </c>
      <c r="B396" s="307" t="s">
        <v>395</v>
      </c>
      <c r="C396" s="352" t="s">
        <v>67</v>
      </c>
      <c r="D396" s="355">
        <v>3.9950000000000001</v>
      </c>
      <c r="E396" s="342"/>
      <c r="F396" s="342">
        <f t="shared" si="19"/>
        <v>3.9950000000000001</v>
      </c>
      <c r="G396" s="336">
        <v>10629092.200973125</v>
      </c>
      <c r="H396" s="336">
        <f t="shared" si="17"/>
        <v>42463223.342887633</v>
      </c>
      <c r="I396" s="336"/>
      <c r="J396" s="336">
        <f t="shared" si="18"/>
        <v>42463223.342887633</v>
      </c>
    </row>
    <row r="397" spans="1:10">
      <c r="A397" s="305">
        <v>95</v>
      </c>
      <c r="B397" s="309" t="s">
        <v>406</v>
      </c>
      <c r="C397" s="352" t="s">
        <v>325</v>
      </c>
      <c r="D397" s="355">
        <v>2.4E-2</v>
      </c>
      <c r="E397" s="342"/>
      <c r="F397" s="342">
        <f t="shared" si="19"/>
        <v>2.4E-2</v>
      </c>
      <c r="G397" s="336">
        <v>8117524.669297385</v>
      </c>
      <c r="H397" s="336">
        <f t="shared" si="17"/>
        <v>194820.59206313724</v>
      </c>
      <c r="I397" s="336"/>
      <c r="J397" s="336">
        <f t="shared" si="18"/>
        <v>194820.59206313724</v>
      </c>
    </row>
    <row r="398" spans="1:10">
      <c r="A398" s="314"/>
      <c r="B398" s="312" t="s">
        <v>549</v>
      </c>
      <c r="C398" s="371"/>
      <c r="D398" s="355">
        <v>0</v>
      </c>
      <c r="E398" s="342"/>
      <c r="F398" s="342">
        <f t="shared" si="19"/>
        <v>0</v>
      </c>
      <c r="G398" s="336">
        <v>0</v>
      </c>
      <c r="H398" s="336">
        <f t="shared" si="17"/>
        <v>0</v>
      </c>
      <c r="I398" s="336"/>
      <c r="J398" s="336">
        <f t="shared" si="18"/>
        <v>0</v>
      </c>
    </row>
    <row r="399" spans="1:10" ht="33">
      <c r="A399" s="305">
        <v>96</v>
      </c>
      <c r="B399" s="309" t="s">
        <v>387</v>
      </c>
      <c r="C399" s="352" t="s">
        <v>323</v>
      </c>
      <c r="D399" s="355">
        <v>5.14</v>
      </c>
      <c r="E399" s="342"/>
      <c r="F399" s="342">
        <f t="shared" si="19"/>
        <v>5.14</v>
      </c>
      <c r="G399" s="336">
        <v>2027464.7566844549</v>
      </c>
      <c r="H399" s="336">
        <f t="shared" ref="H399:H462" si="20">D399*G399</f>
        <v>10421168.849358097</v>
      </c>
      <c r="I399" s="336"/>
      <c r="J399" s="336">
        <f t="shared" ref="J399:J462" si="21">F399*G399</f>
        <v>10421168.849358097</v>
      </c>
    </row>
    <row r="400" spans="1:10" ht="33">
      <c r="A400" s="305">
        <v>97</v>
      </c>
      <c r="B400" s="309" t="s">
        <v>393</v>
      </c>
      <c r="C400" s="352" t="s">
        <v>323</v>
      </c>
      <c r="D400" s="355">
        <v>16.010000000000002</v>
      </c>
      <c r="E400" s="342"/>
      <c r="F400" s="342">
        <f t="shared" si="19"/>
        <v>16.010000000000002</v>
      </c>
      <c r="G400" s="336">
        <v>2608057.7646897146</v>
      </c>
      <c r="H400" s="336">
        <f t="shared" si="20"/>
        <v>41755004.812682338</v>
      </c>
      <c r="I400" s="336"/>
      <c r="J400" s="336">
        <f t="shared" si="21"/>
        <v>41755004.812682338</v>
      </c>
    </row>
    <row r="401" spans="1:10">
      <c r="A401" s="305">
        <v>98</v>
      </c>
      <c r="B401" s="309" t="s">
        <v>388</v>
      </c>
      <c r="C401" s="352" t="s">
        <v>326</v>
      </c>
      <c r="D401" s="355">
        <v>21.678999999999998</v>
      </c>
      <c r="E401" s="342"/>
      <c r="F401" s="342">
        <f t="shared" si="19"/>
        <v>21.678999999999998</v>
      </c>
      <c r="G401" s="336">
        <v>30806.869839482002</v>
      </c>
      <c r="H401" s="336">
        <f t="shared" si="20"/>
        <v>667862.13125013025</v>
      </c>
      <c r="I401" s="336"/>
      <c r="J401" s="336">
        <f t="shared" si="21"/>
        <v>667862.13125013025</v>
      </c>
    </row>
    <row r="402" spans="1:10">
      <c r="A402" s="305">
        <v>99</v>
      </c>
      <c r="B402" s="307" t="s">
        <v>389</v>
      </c>
      <c r="C402" s="352" t="s">
        <v>328</v>
      </c>
      <c r="D402" s="355">
        <v>2.91</v>
      </c>
      <c r="E402" s="342"/>
      <c r="F402" s="342">
        <f t="shared" si="19"/>
        <v>2.91</v>
      </c>
      <c r="G402" s="336">
        <v>1453528.4231198058</v>
      </c>
      <c r="H402" s="336">
        <f t="shared" si="20"/>
        <v>4229767.7112786351</v>
      </c>
      <c r="I402" s="336"/>
      <c r="J402" s="336">
        <f t="shared" si="21"/>
        <v>4229767.7112786351</v>
      </c>
    </row>
    <row r="403" spans="1:10">
      <c r="A403" s="305">
        <v>100</v>
      </c>
      <c r="B403" s="309" t="s">
        <v>352</v>
      </c>
      <c r="C403" s="352" t="s">
        <v>324</v>
      </c>
      <c r="D403" s="355">
        <v>14.445</v>
      </c>
      <c r="E403" s="342"/>
      <c r="F403" s="342">
        <f t="shared" si="19"/>
        <v>14.445</v>
      </c>
      <c r="G403" s="336">
        <v>1528207.3601667725</v>
      </c>
      <c r="H403" s="336">
        <f t="shared" si="20"/>
        <v>22074955.317609031</v>
      </c>
      <c r="I403" s="336"/>
      <c r="J403" s="336">
        <f t="shared" si="21"/>
        <v>22074955.317609031</v>
      </c>
    </row>
    <row r="404" spans="1:10">
      <c r="A404" s="305">
        <v>101</v>
      </c>
      <c r="B404" s="307" t="s">
        <v>551</v>
      </c>
      <c r="C404" s="352" t="s">
        <v>327</v>
      </c>
      <c r="D404" s="355">
        <v>8.1</v>
      </c>
      <c r="E404" s="342"/>
      <c r="F404" s="342">
        <f t="shared" si="19"/>
        <v>8.1</v>
      </c>
      <c r="G404" s="336">
        <v>637246.01940001198</v>
      </c>
      <c r="H404" s="336">
        <f t="shared" si="20"/>
        <v>5161692.7571400972</v>
      </c>
      <c r="I404" s="336"/>
      <c r="J404" s="336">
        <f t="shared" si="21"/>
        <v>5161692.7571400972</v>
      </c>
    </row>
    <row r="405" spans="1:10">
      <c r="A405" s="305">
        <v>102</v>
      </c>
      <c r="B405" s="309" t="s">
        <v>552</v>
      </c>
      <c r="C405" s="352" t="s">
        <v>504</v>
      </c>
      <c r="D405" s="355">
        <v>0.105</v>
      </c>
      <c r="E405" s="342"/>
      <c r="F405" s="342">
        <f t="shared" si="19"/>
        <v>0.105</v>
      </c>
      <c r="G405" s="336">
        <v>22970498.221207418</v>
      </c>
      <c r="H405" s="336">
        <f t="shared" si="20"/>
        <v>2411902.3132267785</v>
      </c>
      <c r="I405" s="336"/>
      <c r="J405" s="336">
        <f t="shared" si="21"/>
        <v>2411902.3132267785</v>
      </c>
    </row>
    <row r="406" spans="1:10">
      <c r="A406" s="305">
        <v>103</v>
      </c>
      <c r="B406" s="309" t="s">
        <v>390</v>
      </c>
      <c r="C406" s="352" t="s">
        <v>504</v>
      </c>
      <c r="D406" s="355">
        <v>0.68100000000000005</v>
      </c>
      <c r="E406" s="342"/>
      <c r="F406" s="342">
        <f t="shared" si="19"/>
        <v>0.68100000000000005</v>
      </c>
      <c r="G406" s="336">
        <v>22959485.217240658</v>
      </c>
      <c r="H406" s="336">
        <f t="shared" si="20"/>
        <v>15635409.432940889</v>
      </c>
      <c r="I406" s="336"/>
      <c r="J406" s="336">
        <f t="shared" si="21"/>
        <v>15635409.432940889</v>
      </c>
    </row>
    <row r="407" spans="1:10">
      <c r="A407" s="305">
        <v>104</v>
      </c>
      <c r="B407" s="309" t="s">
        <v>609</v>
      </c>
      <c r="C407" s="352" t="s">
        <v>504</v>
      </c>
      <c r="D407" s="355">
        <v>0.19800000000000001</v>
      </c>
      <c r="E407" s="342"/>
      <c r="F407" s="342">
        <f t="shared" si="19"/>
        <v>0.19800000000000001</v>
      </c>
      <c r="G407" s="336">
        <v>23500366.843585853</v>
      </c>
      <c r="H407" s="336">
        <f t="shared" si="20"/>
        <v>4653072.6350299986</v>
      </c>
      <c r="I407" s="336"/>
      <c r="J407" s="336">
        <f t="shared" si="21"/>
        <v>4653072.6350299986</v>
      </c>
    </row>
    <row r="408" spans="1:10">
      <c r="A408" s="305">
        <v>105</v>
      </c>
      <c r="B408" s="309" t="s">
        <v>610</v>
      </c>
      <c r="C408" s="352" t="s">
        <v>504</v>
      </c>
      <c r="D408" s="355">
        <v>1.056</v>
      </c>
      <c r="E408" s="342"/>
      <c r="F408" s="342">
        <f t="shared" si="19"/>
        <v>1.056</v>
      </c>
      <c r="G408" s="336">
        <v>23608631.816991024</v>
      </c>
      <c r="H408" s="336">
        <f t="shared" si="20"/>
        <v>24930715.198742524</v>
      </c>
      <c r="I408" s="336"/>
      <c r="J408" s="336">
        <f t="shared" si="21"/>
        <v>24930715.198742524</v>
      </c>
    </row>
    <row r="409" spans="1:10">
      <c r="A409" s="305">
        <v>106</v>
      </c>
      <c r="B409" s="307" t="s">
        <v>392</v>
      </c>
      <c r="C409" s="352" t="s">
        <v>329</v>
      </c>
      <c r="D409" s="355">
        <v>0.16600000000000001</v>
      </c>
      <c r="E409" s="342"/>
      <c r="F409" s="342">
        <f t="shared" ref="F409:F472" si="22">D409</f>
        <v>0.16600000000000001</v>
      </c>
      <c r="G409" s="336">
        <v>4683274.2184133623</v>
      </c>
      <c r="H409" s="336">
        <f t="shared" si="20"/>
        <v>777423.52025661815</v>
      </c>
      <c r="I409" s="336"/>
      <c r="J409" s="336">
        <f t="shared" si="21"/>
        <v>777423.52025661815</v>
      </c>
    </row>
    <row r="410" spans="1:10">
      <c r="A410" s="305">
        <v>107</v>
      </c>
      <c r="B410" s="307" t="s">
        <v>395</v>
      </c>
      <c r="C410" s="352" t="s">
        <v>67</v>
      </c>
      <c r="D410" s="355">
        <v>1.0760000000000001</v>
      </c>
      <c r="E410" s="342"/>
      <c r="F410" s="342">
        <f t="shared" si="22"/>
        <v>1.0760000000000001</v>
      </c>
      <c r="G410" s="336">
        <v>10629092.200973125</v>
      </c>
      <c r="H410" s="336">
        <f t="shared" si="20"/>
        <v>11436903.208247084</v>
      </c>
      <c r="I410" s="336"/>
      <c r="J410" s="336">
        <f t="shared" si="21"/>
        <v>11436903.208247084</v>
      </c>
    </row>
    <row r="411" spans="1:10">
      <c r="A411" s="303"/>
      <c r="B411" s="308" t="s">
        <v>553</v>
      </c>
      <c r="C411" s="370"/>
      <c r="D411" s="355">
        <v>0</v>
      </c>
      <c r="E411" s="342"/>
      <c r="F411" s="342">
        <f t="shared" si="22"/>
        <v>0</v>
      </c>
      <c r="G411" s="336">
        <v>0</v>
      </c>
      <c r="H411" s="336">
        <f t="shared" si="20"/>
        <v>0</v>
      </c>
      <c r="I411" s="336"/>
      <c r="J411" s="336">
        <f t="shared" si="21"/>
        <v>0</v>
      </c>
    </row>
    <row r="412" spans="1:10" ht="33">
      <c r="A412" s="305">
        <v>108</v>
      </c>
      <c r="B412" s="309" t="s">
        <v>409</v>
      </c>
      <c r="C412" s="352" t="s">
        <v>323</v>
      </c>
      <c r="D412" s="355">
        <v>22.26</v>
      </c>
      <c r="E412" s="342"/>
      <c r="F412" s="342">
        <f t="shared" si="22"/>
        <v>22.26</v>
      </c>
      <c r="G412" s="336">
        <v>2027464.7566844549</v>
      </c>
      <c r="H412" s="336">
        <f t="shared" si="20"/>
        <v>45131365.483795971</v>
      </c>
      <c r="I412" s="336"/>
      <c r="J412" s="336">
        <f t="shared" si="21"/>
        <v>45131365.483795971</v>
      </c>
    </row>
    <row r="413" spans="1:10">
      <c r="A413" s="305">
        <v>109</v>
      </c>
      <c r="B413" s="309" t="s">
        <v>388</v>
      </c>
      <c r="C413" s="352" t="s">
        <v>326</v>
      </c>
      <c r="D413" s="355">
        <v>22.817</v>
      </c>
      <c r="E413" s="342"/>
      <c r="F413" s="342">
        <f t="shared" si="22"/>
        <v>22.817</v>
      </c>
      <c r="G413" s="336">
        <v>30806.869839482002</v>
      </c>
      <c r="H413" s="336">
        <f t="shared" si="20"/>
        <v>702920.34912746085</v>
      </c>
      <c r="I413" s="336"/>
      <c r="J413" s="336">
        <f t="shared" si="21"/>
        <v>702920.34912746085</v>
      </c>
    </row>
    <row r="414" spans="1:10">
      <c r="A414" s="305">
        <v>110</v>
      </c>
      <c r="B414" s="309" t="s">
        <v>552</v>
      </c>
      <c r="C414" s="352" t="s">
        <v>504</v>
      </c>
      <c r="D414" s="355">
        <v>0.02</v>
      </c>
      <c r="E414" s="342"/>
      <c r="F414" s="342">
        <f t="shared" si="22"/>
        <v>0.02</v>
      </c>
      <c r="G414" s="336">
        <v>22970498.221207418</v>
      </c>
      <c r="H414" s="336">
        <f t="shared" si="20"/>
        <v>459409.96442414838</v>
      </c>
      <c r="I414" s="336"/>
      <c r="J414" s="336">
        <f t="shared" si="21"/>
        <v>459409.96442414838</v>
      </c>
    </row>
    <row r="415" spans="1:10">
      <c r="A415" s="305">
        <v>111</v>
      </c>
      <c r="B415" s="309" t="s">
        <v>391</v>
      </c>
      <c r="C415" s="352" t="s">
        <v>504</v>
      </c>
      <c r="D415" s="355">
        <v>2.1259999999999999</v>
      </c>
      <c r="E415" s="342"/>
      <c r="F415" s="342">
        <f t="shared" si="22"/>
        <v>2.1259999999999999</v>
      </c>
      <c r="G415" s="336">
        <v>22540677.403458439</v>
      </c>
      <c r="H415" s="336">
        <f t="shared" si="20"/>
        <v>47921480.159752637</v>
      </c>
      <c r="I415" s="336"/>
      <c r="J415" s="336">
        <f t="shared" si="21"/>
        <v>47921480.159752637</v>
      </c>
    </row>
    <row r="416" spans="1:10">
      <c r="A416" s="305">
        <v>112</v>
      </c>
      <c r="B416" s="307" t="s">
        <v>402</v>
      </c>
      <c r="C416" s="352" t="s">
        <v>331</v>
      </c>
      <c r="D416" s="355">
        <v>93</v>
      </c>
      <c r="E416" s="342"/>
      <c r="F416" s="342">
        <f t="shared" si="22"/>
        <v>93</v>
      </c>
      <c r="G416" s="336">
        <v>61715.820088263004</v>
      </c>
      <c r="H416" s="336">
        <f t="shared" si="20"/>
        <v>5739571.268208459</v>
      </c>
      <c r="I416" s="336"/>
      <c r="J416" s="336">
        <f t="shared" si="21"/>
        <v>5739571.268208459</v>
      </c>
    </row>
    <row r="417" spans="1:10">
      <c r="A417" s="305">
        <v>113</v>
      </c>
      <c r="B417" s="309" t="s">
        <v>410</v>
      </c>
      <c r="C417" s="352" t="s">
        <v>323</v>
      </c>
      <c r="D417" s="355">
        <v>5.59</v>
      </c>
      <c r="E417" s="342"/>
      <c r="F417" s="342">
        <f t="shared" si="22"/>
        <v>5.59</v>
      </c>
      <c r="G417" s="336">
        <v>1623118.7803397712</v>
      </c>
      <c r="H417" s="336">
        <f t="shared" si="20"/>
        <v>9073233.9820993207</v>
      </c>
      <c r="I417" s="336"/>
      <c r="J417" s="336">
        <f t="shared" si="21"/>
        <v>9073233.9820993207</v>
      </c>
    </row>
    <row r="418" spans="1:10">
      <c r="A418" s="305">
        <v>114</v>
      </c>
      <c r="B418" s="307" t="s">
        <v>392</v>
      </c>
      <c r="C418" s="352" t="s">
        <v>329</v>
      </c>
      <c r="D418" s="355">
        <v>0.16700000000000001</v>
      </c>
      <c r="E418" s="342"/>
      <c r="F418" s="342">
        <f t="shared" si="22"/>
        <v>0.16700000000000001</v>
      </c>
      <c r="G418" s="336">
        <v>4683274.2184133623</v>
      </c>
      <c r="H418" s="336">
        <f t="shared" si="20"/>
        <v>782106.79447503155</v>
      </c>
      <c r="I418" s="336"/>
      <c r="J418" s="336">
        <f t="shared" si="21"/>
        <v>782106.79447503155</v>
      </c>
    </row>
    <row r="419" spans="1:10">
      <c r="A419" s="305">
        <v>115</v>
      </c>
      <c r="B419" s="307" t="s">
        <v>411</v>
      </c>
      <c r="C419" s="352" t="s">
        <v>106</v>
      </c>
      <c r="D419" s="355">
        <v>8.4000000000000005E-2</v>
      </c>
      <c r="E419" s="342"/>
      <c r="F419" s="342">
        <f t="shared" si="22"/>
        <v>8.4000000000000005E-2</v>
      </c>
      <c r="G419" s="336">
        <v>2323017.5938828867</v>
      </c>
      <c r="H419" s="336">
        <f t="shared" si="20"/>
        <v>195133.47788616249</v>
      </c>
      <c r="I419" s="336"/>
      <c r="J419" s="336">
        <f t="shared" si="21"/>
        <v>195133.47788616249</v>
      </c>
    </row>
    <row r="420" spans="1:10">
      <c r="A420" s="305">
        <v>116</v>
      </c>
      <c r="B420" s="309" t="s">
        <v>554</v>
      </c>
      <c r="C420" s="352" t="s">
        <v>330</v>
      </c>
      <c r="D420" s="355">
        <v>3.73</v>
      </c>
      <c r="E420" s="342"/>
      <c r="F420" s="342">
        <f t="shared" si="22"/>
        <v>3.73</v>
      </c>
      <c r="G420" s="336">
        <v>192397.84604611999</v>
      </c>
      <c r="H420" s="336">
        <f t="shared" si="20"/>
        <v>717643.96575202758</v>
      </c>
      <c r="I420" s="336"/>
      <c r="J420" s="336">
        <f t="shared" si="21"/>
        <v>717643.96575202758</v>
      </c>
    </row>
    <row r="421" spans="1:10">
      <c r="A421" s="314"/>
      <c r="B421" s="308" t="s">
        <v>555</v>
      </c>
      <c r="C421" s="371"/>
      <c r="D421" s="355">
        <v>0</v>
      </c>
      <c r="E421" s="342"/>
      <c r="F421" s="342">
        <f t="shared" si="22"/>
        <v>0</v>
      </c>
      <c r="G421" s="336">
        <v>0</v>
      </c>
      <c r="H421" s="336">
        <f t="shared" si="20"/>
        <v>0</v>
      </c>
      <c r="I421" s="336"/>
      <c r="J421" s="336">
        <f t="shared" si="21"/>
        <v>0</v>
      </c>
    </row>
    <row r="422" spans="1:10" ht="33">
      <c r="A422" s="303">
        <v>117</v>
      </c>
      <c r="B422" s="307" t="s">
        <v>556</v>
      </c>
      <c r="C422" s="352" t="s">
        <v>325</v>
      </c>
      <c r="D422" s="355">
        <v>2.343</v>
      </c>
      <c r="E422" s="342"/>
      <c r="F422" s="342">
        <f t="shared" si="22"/>
        <v>2.343</v>
      </c>
      <c r="G422" s="336">
        <v>15606522.859853663</v>
      </c>
      <c r="H422" s="336">
        <f t="shared" si="20"/>
        <v>36566083.060637131</v>
      </c>
      <c r="I422" s="336"/>
      <c r="J422" s="336">
        <f t="shared" si="21"/>
        <v>36566083.060637131</v>
      </c>
    </row>
    <row r="423" spans="1:10" ht="33">
      <c r="A423" s="303">
        <v>118</v>
      </c>
      <c r="B423" s="307" t="s">
        <v>557</v>
      </c>
      <c r="C423" s="352" t="s">
        <v>325</v>
      </c>
      <c r="D423" s="355">
        <v>2.343</v>
      </c>
      <c r="E423" s="342"/>
      <c r="F423" s="342">
        <f t="shared" si="22"/>
        <v>2.343</v>
      </c>
      <c r="G423" s="336">
        <v>2713602.7903804714</v>
      </c>
      <c r="H423" s="336">
        <f t="shared" si="20"/>
        <v>6357971.3378614448</v>
      </c>
      <c r="I423" s="336"/>
      <c r="J423" s="336">
        <f t="shared" si="21"/>
        <v>6357971.3378614448</v>
      </c>
    </row>
    <row r="424" spans="1:10">
      <c r="A424" s="303">
        <v>119</v>
      </c>
      <c r="B424" s="309" t="s">
        <v>558</v>
      </c>
      <c r="C424" s="352" t="s">
        <v>70</v>
      </c>
      <c r="D424" s="355">
        <v>0.57099999999999995</v>
      </c>
      <c r="E424" s="342"/>
      <c r="F424" s="342">
        <f t="shared" si="22"/>
        <v>0.57099999999999995</v>
      </c>
      <c r="G424" s="336">
        <v>81099718.991999239</v>
      </c>
      <c r="H424" s="336">
        <f t="shared" si="20"/>
        <v>46307939.54443156</v>
      </c>
      <c r="I424" s="336"/>
      <c r="J424" s="336">
        <f t="shared" si="21"/>
        <v>46307939.54443156</v>
      </c>
    </row>
    <row r="425" spans="1:10">
      <c r="A425" s="303">
        <v>120</v>
      </c>
      <c r="B425" s="309" t="s">
        <v>559</v>
      </c>
      <c r="C425" s="352" t="s">
        <v>70</v>
      </c>
      <c r="D425" s="355">
        <v>0.23499999999999999</v>
      </c>
      <c r="E425" s="342"/>
      <c r="F425" s="342">
        <f t="shared" si="22"/>
        <v>0.23499999999999999</v>
      </c>
      <c r="G425" s="336">
        <v>74124698.582322836</v>
      </c>
      <c r="H425" s="336">
        <f t="shared" si="20"/>
        <v>17419304.166845866</v>
      </c>
      <c r="I425" s="336"/>
      <c r="J425" s="336">
        <f t="shared" si="21"/>
        <v>17419304.166845866</v>
      </c>
    </row>
    <row r="426" spans="1:10">
      <c r="A426" s="303">
        <v>121</v>
      </c>
      <c r="B426" s="309" t="s">
        <v>560</v>
      </c>
      <c r="C426" s="352" t="s">
        <v>320</v>
      </c>
      <c r="D426" s="355">
        <v>0.58799999999999997</v>
      </c>
      <c r="E426" s="342"/>
      <c r="F426" s="342">
        <f t="shared" si="22"/>
        <v>0.58799999999999997</v>
      </c>
      <c r="G426" s="336">
        <v>19451475.52634649</v>
      </c>
      <c r="H426" s="336">
        <f t="shared" si="20"/>
        <v>11437467.609491736</v>
      </c>
      <c r="I426" s="336"/>
      <c r="J426" s="336">
        <f t="shared" si="21"/>
        <v>11437467.609491736</v>
      </c>
    </row>
    <row r="427" spans="1:10">
      <c r="A427" s="303">
        <v>122</v>
      </c>
      <c r="B427" s="309" t="s">
        <v>414</v>
      </c>
      <c r="C427" s="352" t="s">
        <v>320</v>
      </c>
      <c r="D427" s="355">
        <v>2.9980000000000002</v>
      </c>
      <c r="E427" s="342"/>
      <c r="F427" s="342">
        <f t="shared" si="22"/>
        <v>2.9980000000000002</v>
      </c>
      <c r="G427" s="336">
        <v>19341236.714466874</v>
      </c>
      <c r="H427" s="336">
        <f t="shared" si="20"/>
        <v>57985027.66997169</v>
      </c>
      <c r="I427" s="336"/>
      <c r="J427" s="336">
        <f t="shared" si="21"/>
        <v>57985027.66997169</v>
      </c>
    </row>
    <row r="428" spans="1:10" ht="33">
      <c r="A428" s="303">
        <v>123</v>
      </c>
      <c r="B428" s="307" t="s">
        <v>415</v>
      </c>
      <c r="C428" s="352" t="s">
        <v>320</v>
      </c>
      <c r="D428" s="355">
        <v>1.653</v>
      </c>
      <c r="E428" s="342"/>
      <c r="F428" s="342">
        <f t="shared" si="22"/>
        <v>1.653</v>
      </c>
      <c r="G428" s="336">
        <v>2997242.3936378886</v>
      </c>
      <c r="H428" s="336">
        <f t="shared" si="20"/>
        <v>4954441.6766834296</v>
      </c>
      <c r="I428" s="336"/>
      <c r="J428" s="336">
        <f t="shared" si="21"/>
        <v>4954441.6766834296</v>
      </c>
    </row>
    <row r="429" spans="1:10">
      <c r="A429" s="303">
        <v>124</v>
      </c>
      <c r="B429" s="307" t="s">
        <v>346</v>
      </c>
      <c r="C429" s="352" t="s">
        <v>321</v>
      </c>
      <c r="D429" s="355">
        <v>0.29199999999999998</v>
      </c>
      <c r="E429" s="342"/>
      <c r="F429" s="342">
        <f t="shared" si="22"/>
        <v>0.29199999999999998</v>
      </c>
      <c r="G429" s="336">
        <v>731754.59304715903</v>
      </c>
      <c r="H429" s="336">
        <f t="shared" si="20"/>
        <v>213672.34116977043</v>
      </c>
      <c r="I429" s="336"/>
      <c r="J429" s="336">
        <f t="shared" si="21"/>
        <v>213672.34116977043</v>
      </c>
    </row>
    <row r="430" spans="1:10">
      <c r="A430" s="303">
        <v>125</v>
      </c>
      <c r="B430" s="307" t="s">
        <v>561</v>
      </c>
      <c r="C430" s="352" t="s">
        <v>67</v>
      </c>
      <c r="D430" s="355">
        <v>1.133</v>
      </c>
      <c r="E430" s="342"/>
      <c r="F430" s="342">
        <f t="shared" si="22"/>
        <v>1.133</v>
      </c>
      <c r="G430" s="336">
        <v>160062.81179567799</v>
      </c>
      <c r="H430" s="336">
        <f t="shared" si="20"/>
        <v>181351.16576450315</v>
      </c>
      <c r="I430" s="336"/>
      <c r="J430" s="336">
        <f t="shared" si="21"/>
        <v>181351.16576450315</v>
      </c>
    </row>
    <row r="431" spans="1:10">
      <c r="A431" s="303">
        <v>126</v>
      </c>
      <c r="B431" s="309" t="s">
        <v>413</v>
      </c>
      <c r="C431" s="352" t="s">
        <v>323</v>
      </c>
      <c r="D431" s="355">
        <v>2.81</v>
      </c>
      <c r="E431" s="342"/>
      <c r="F431" s="342">
        <f t="shared" si="22"/>
        <v>2.81</v>
      </c>
      <c r="G431" s="336">
        <v>2189987.3535037301</v>
      </c>
      <c r="H431" s="336">
        <f t="shared" si="20"/>
        <v>6153864.463345482</v>
      </c>
      <c r="I431" s="336"/>
      <c r="J431" s="336">
        <f t="shared" si="21"/>
        <v>6153864.463345482</v>
      </c>
    </row>
    <row r="432" spans="1:10">
      <c r="A432" s="303">
        <v>127</v>
      </c>
      <c r="B432" s="309" t="s">
        <v>416</v>
      </c>
      <c r="C432" s="352" t="s">
        <v>326</v>
      </c>
      <c r="D432" s="355">
        <v>28.1</v>
      </c>
      <c r="E432" s="342"/>
      <c r="F432" s="342">
        <f t="shared" si="22"/>
        <v>28.1</v>
      </c>
      <c r="G432" s="336">
        <v>807419.050136226</v>
      </c>
      <c r="H432" s="336">
        <f t="shared" si="20"/>
        <v>22688475.308827952</v>
      </c>
      <c r="I432" s="336"/>
      <c r="J432" s="336">
        <f t="shared" si="21"/>
        <v>22688475.308827952</v>
      </c>
    </row>
    <row r="433" spans="1:10">
      <c r="A433" s="303">
        <v>128</v>
      </c>
      <c r="B433" s="309" t="s">
        <v>396</v>
      </c>
      <c r="C433" s="352" t="s">
        <v>325</v>
      </c>
      <c r="D433" s="355">
        <v>1.1759999999999999</v>
      </c>
      <c r="E433" s="342"/>
      <c r="F433" s="342">
        <f t="shared" si="22"/>
        <v>1.1759999999999999</v>
      </c>
      <c r="G433" s="336">
        <v>2389507.7110639899</v>
      </c>
      <c r="H433" s="336">
        <f t="shared" si="20"/>
        <v>2810061.0682112519</v>
      </c>
      <c r="I433" s="336"/>
      <c r="J433" s="336">
        <f t="shared" si="21"/>
        <v>2810061.0682112519</v>
      </c>
    </row>
    <row r="434" spans="1:10">
      <c r="A434" s="303">
        <v>129</v>
      </c>
      <c r="B434" s="309" t="s">
        <v>353</v>
      </c>
      <c r="C434" s="352" t="s">
        <v>325</v>
      </c>
      <c r="D434" s="355">
        <v>0.28100000000000003</v>
      </c>
      <c r="E434" s="342"/>
      <c r="F434" s="342">
        <f t="shared" si="22"/>
        <v>0.28100000000000003</v>
      </c>
      <c r="G434" s="336">
        <v>636406.25898883003</v>
      </c>
      <c r="H434" s="336">
        <f t="shared" si="20"/>
        <v>178830.15877586126</v>
      </c>
      <c r="I434" s="336"/>
      <c r="J434" s="336">
        <f t="shared" si="21"/>
        <v>178830.15877586126</v>
      </c>
    </row>
    <row r="435" spans="1:10">
      <c r="A435" s="311"/>
      <c r="B435" s="308" t="s">
        <v>611</v>
      </c>
      <c r="C435" s="370"/>
      <c r="D435" s="355">
        <v>0</v>
      </c>
      <c r="E435" s="342"/>
      <c r="F435" s="342">
        <f t="shared" si="22"/>
        <v>0</v>
      </c>
      <c r="G435" s="336">
        <v>0</v>
      </c>
      <c r="H435" s="336">
        <f t="shared" si="20"/>
        <v>0</v>
      </c>
      <c r="I435" s="336"/>
      <c r="J435" s="336">
        <f t="shared" si="21"/>
        <v>0</v>
      </c>
    </row>
    <row r="436" spans="1:10">
      <c r="A436" s="305">
        <v>130</v>
      </c>
      <c r="B436" s="309" t="s">
        <v>563</v>
      </c>
      <c r="C436" s="352" t="s">
        <v>323</v>
      </c>
      <c r="D436" s="355">
        <v>12.28</v>
      </c>
      <c r="E436" s="342"/>
      <c r="F436" s="342">
        <f t="shared" si="22"/>
        <v>12.28</v>
      </c>
      <c r="G436" s="336">
        <v>2608057.7646897146</v>
      </c>
      <c r="H436" s="336">
        <f t="shared" si="20"/>
        <v>32026949.350389693</v>
      </c>
      <c r="I436" s="336"/>
      <c r="J436" s="336">
        <f t="shared" si="21"/>
        <v>32026949.350389693</v>
      </c>
    </row>
    <row r="437" spans="1:10">
      <c r="A437" s="305">
        <v>131</v>
      </c>
      <c r="B437" s="309" t="s">
        <v>388</v>
      </c>
      <c r="C437" s="352" t="s">
        <v>326</v>
      </c>
      <c r="D437" s="355">
        <v>12.587</v>
      </c>
      <c r="E437" s="342"/>
      <c r="F437" s="342">
        <f t="shared" si="22"/>
        <v>12.587</v>
      </c>
      <c r="G437" s="336">
        <v>30806.869839482002</v>
      </c>
      <c r="H437" s="336">
        <f t="shared" si="20"/>
        <v>387766.07066955994</v>
      </c>
      <c r="I437" s="336"/>
      <c r="J437" s="336">
        <f t="shared" si="21"/>
        <v>387766.07066955994</v>
      </c>
    </row>
    <row r="438" spans="1:10">
      <c r="A438" s="305">
        <v>132</v>
      </c>
      <c r="B438" s="307" t="s">
        <v>402</v>
      </c>
      <c r="C438" s="352" t="s">
        <v>331</v>
      </c>
      <c r="D438" s="355">
        <v>20.332999999999998</v>
      </c>
      <c r="E438" s="342"/>
      <c r="F438" s="342">
        <f t="shared" si="22"/>
        <v>20.332999999999998</v>
      </c>
      <c r="G438" s="336">
        <v>61715.820088263004</v>
      </c>
      <c r="H438" s="336">
        <f t="shared" si="20"/>
        <v>1254867.7698546515</v>
      </c>
      <c r="I438" s="336"/>
      <c r="J438" s="336">
        <f t="shared" si="21"/>
        <v>1254867.7698546515</v>
      </c>
    </row>
    <row r="439" spans="1:10">
      <c r="A439" s="305">
        <v>133</v>
      </c>
      <c r="B439" s="309" t="s">
        <v>440</v>
      </c>
      <c r="C439" s="352" t="s">
        <v>504</v>
      </c>
      <c r="D439" s="355">
        <v>0.219</v>
      </c>
      <c r="E439" s="342"/>
      <c r="F439" s="342">
        <f t="shared" si="22"/>
        <v>0.219</v>
      </c>
      <c r="G439" s="336">
        <v>23632475.075214513</v>
      </c>
      <c r="H439" s="336">
        <f t="shared" si="20"/>
        <v>5175512.0414719786</v>
      </c>
      <c r="I439" s="336"/>
      <c r="J439" s="336">
        <f t="shared" si="21"/>
        <v>5175512.0414719786</v>
      </c>
    </row>
    <row r="440" spans="1:10">
      <c r="A440" s="305">
        <v>134</v>
      </c>
      <c r="B440" s="309" t="s">
        <v>394</v>
      </c>
      <c r="C440" s="352" t="s">
        <v>504</v>
      </c>
      <c r="D440" s="355">
        <v>0.57299999999999995</v>
      </c>
      <c r="E440" s="342"/>
      <c r="F440" s="342">
        <f t="shared" si="22"/>
        <v>0.57299999999999995</v>
      </c>
      <c r="G440" s="336">
        <v>23872760.678466823</v>
      </c>
      <c r="H440" s="336">
        <f t="shared" si="20"/>
        <v>13679091.868761489</v>
      </c>
      <c r="I440" s="336"/>
      <c r="J440" s="336">
        <f t="shared" si="21"/>
        <v>13679091.868761489</v>
      </c>
    </row>
    <row r="441" spans="1:10" ht="33">
      <c r="A441" s="305">
        <v>135</v>
      </c>
      <c r="B441" s="309" t="s">
        <v>356</v>
      </c>
      <c r="C441" s="352" t="s">
        <v>324</v>
      </c>
      <c r="D441" s="355">
        <v>3.87</v>
      </c>
      <c r="E441" s="342"/>
      <c r="F441" s="342">
        <f t="shared" si="22"/>
        <v>3.87</v>
      </c>
      <c r="G441" s="336">
        <v>1528207.3601667725</v>
      </c>
      <c r="H441" s="336">
        <f t="shared" si="20"/>
        <v>5914162.4838454099</v>
      </c>
      <c r="I441" s="336"/>
      <c r="J441" s="336">
        <f t="shared" si="21"/>
        <v>5914162.4838454099</v>
      </c>
    </row>
    <row r="442" spans="1:10">
      <c r="A442" s="305">
        <v>136</v>
      </c>
      <c r="B442" s="309" t="s">
        <v>400</v>
      </c>
      <c r="C442" s="352" t="s">
        <v>330</v>
      </c>
      <c r="D442" s="355">
        <v>0.68</v>
      </c>
      <c r="E442" s="342"/>
      <c r="F442" s="342">
        <f t="shared" si="22"/>
        <v>0.68</v>
      </c>
      <c r="G442" s="336">
        <v>192397.84604611999</v>
      </c>
      <c r="H442" s="336">
        <f t="shared" si="20"/>
        <v>130830.5353113616</v>
      </c>
      <c r="I442" s="336"/>
      <c r="J442" s="336">
        <f t="shared" si="21"/>
        <v>130830.5353113616</v>
      </c>
    </row>
    <row r="443" spans="1:10">
      <c r="A443" s="305">
        <v>137</v>
      </c>
      <c r="B443" s="307" t="s">
        <v>392</v>
      </c>
      <c r="C443" s="352" t="s">
        <v>329</v>
      </c>
      <c r="D443" s="355">
        <v>0.16800000000000001</v>
      </c>
      <c r="E443" s="342"/>
      <c r="F443" s="342">
        <f t="shared" si="22"/>
        <v>0.16800000000000001</v>
      </c>
      <c r="G443" s="336">
        <v>4683274.2184133623</v>
      </c>
      <c r="H443" s="336">
        <f t="shared" si="20"/>
        <v>786790.06869344495</v>
      </c>
      <c r="I443" s="336"/>
      <c r="J443" s="336">
        <f t="shared" si="21"/>
        <v>786790.06869344495</v>
      </c>
    </row>
    <row r="444" spans="1:10">
      <c r="A444" s="305">
        <v>138</v>
      </c>
      <c r="B444" s="307" t="s">
        <v>395</v>
      </c>
      <c r="C444" s="352" t="s">
        <v>67</v>
      </c>
      <c r="D444" s="355">
        <v>0.35299999999999998</v>
      </c>
      <c r="E444" s="342"/>
      <c r="F444" s="342">
        <f t="shared" si="22"/>
        <v>0.35299999999999998</v>
      </c>
      <c r="G444" s="336">
        <v>10629092.200973125</v>
      </c>
      <c r="H444" s="336">
        <f t="shared" si="20"/>
        <v>3752069.5469435132</v>
      </c>
      <c r="I444" s="336"/>
      <c r="J444" s="336">
        <f t="shared" si="21"/>
        <v>3752069.5469435132</v>
      </c>
    </row>
    <row r="445" spans="1:10">
      <c r="A445" s="311"/>
      <c r="B445" s="312" t="s">
        <v>612</v>
      </c>
      <c r="C445" s="352"/>
      <c r="D445" s="355">
        <v>0</v>
      </c>
      <c r="E445" s="342"/>
      <c r="F445" s="342">
        <f t="shared" si="22"/>
        <v>0</v>
      </c>
      <c r="G445" s="336">
        <v>0</v>
      </c>
      <c r="H445" s="336">
        <f t="shared" si="20"/>
        <v>0</v>
      </c>
      <c r="I445" s="336"/>
      <c r="J445" s="336">
        <f t="shared" si="21"/>
        <v>0</v>
      </c>
    </row>
    <row r="446" spans="1:10">
      <c r="A446" s="303">
        <v>139</v>
      </c>
      <c r="B446" s="307" t="s">
        <v>424</v>
      </c>
      <c r="C446" s="352" t="s">
        <v>328</v>
      </c>
      <c r="D446" s="355">
        <v>7.99</v>
      </c>
      <c r="E446" s="342"/>
      <c r="F446" s="342">
        <f t="shared" si="22"/>
        <v>7.99</v>
      </c>
      <c r="G446" s="336">
        <v>2005171.5633173073</v>
      </c>
      <c r="H446" s="336">
        <f t="shared" si="20"/>
        <v>16021320.790905286</v>
      </c>
      <c r="I446" s="336"/>
      <c r="J446" s="336">
        <f t="shared" si="21"/>
        <v>16021320.790905286</v>
      </c>
    </row>
    <row r="447" spans="1:10">
      <c r="A447" s="303">
        <v>140</v>
      </c>
      <c r="B447" s="307" t="s">
        <v>402</v>
      </c>
      <c r="C447" s="352" t="s">
        <v>331</v>
      </c>
      <c r="D447" s="355">
        <v>20</v>
      </c>
      <c r="E447" s="342"/>
      <c r="F447" s="342">
        <f t="shared" si="22"/>
        <v>20</v>
      </c>
      <c r="G447" s="336">
        <v>61715.820088263004</v>
      </c>
      <c r="H447" s="336">
        <f t="shared" si="20"/>
        <v>1234316.4017652601</v>
      </c>
      <c r="I447" s="336"/>
      <c r="J447" s="336">
        <f t="shared" si="21"/>
        <v>1234316.4017652601</v>
      </c>
    </row>
    <row r="448" spans="1:10">
      <c r="A448" s="303">
        <v>141</v>
      </c>
      <c r="B448" s="309" t="s">
        <v>425</v>
      </c>
      <c r="C448" s="352" t="s">
        <v>331</v>
      </c>
      <c r="D448" s="355">
        <v>125.14</v>
      </c>
      <c r="E448" s="342"/>
      <c r="F448" s="342">
        <f t="shared" si="22"/>
        <v>125.14</v>
      </c>
      <c r="G448" s="336">
        <v>155106.01099133803</v>
      </c>
      <c r="H448" s="336">
        <f t="shared" si="20"/>
        <v>19409966.215456042</v>
      </c>
      <c r="I448" s="336"/>
      <c r="J448" s="336">
        <f t="shared" si="21"/>
        <v>19409966.215456042</v>
      </c>
    </row>
    <row r="449" spans="1:10">
      <c r="A449" s="303">
        <v>142</v>
      </c>
      <c r="B449" s="309" t="s">
        <v>426</v>
      </c>
      <c r="C449" s="352" t="s">
        <v>323</v>
      </c>
      <c r="D449" s="355">
        <v>83.67</v>
      </c>
      <c r="E449" s="342"/>
      <c r="F449" s="342">
        <f t="shared" si="22"/>
        <v>83.67</v>
      </c>
      <c r="G449" s="336">
        <v>1913905.107270387</v>
      </c>
      <c r="H449" s="336">
        <f t="shared" si="20"/>
        <v>160136440.32531327</v>
      </c>
      <c r="I449" s="336"/>
      <c r="J449" s="336">
        <f t="shared" si="21"/>
        <v>160136440.32531327</v>
      </c>
    </row>
    <row r="450" spans="1:10">
      <c r="A450" s="303">
        <v>143</v>
      </c>
      <c r="B450" s="309" t="s">
        <v>427</v>
      </c>
      <c r="C450" s="352" t="s">
        <v>323</v>
      </c>
      <c r="D450" s="355">
        <v>3.83</v>
      </c>
      <c r="E450" s="342"/>
      <c r="F450" s="342">
        <f t="shared" si="22"/>
        <v>3.83</v>
      </c>
      <c r="G450" s="336">
        <v>2075012.3269724092</v>
      </c>
      <c r="H450" s="336">
        <f t="shared" si="20"/>
        <v>7947297.2123043276</v>
      </c>
      <c r="I450" s="336"/>
      <c r="J450" s="336">
        <f t="shared" si="21"/>
        <v>7947297.2123043276</v>
      </c>
    </row>
    <row r="451" spans="1:10">
      <c r="A451" s="303">
        <v>144</v>
      </c>
      <c r="B451" s="309" t="s">
        <v>428</v>
      </c>
      <c r="C451" s="352" t="s">
        <v>325</v>
      </c>
      <c r="D451" s="355">
        <v>1.7989999999999999</v>
      </c>
      <c r="E451" s="342"/>
      <c r="F451" s="342">
        <f t="shared" si="22"/>
        <v>1.7989999999999999</v>
      </c>
      <c r="G451" s="336">
        <v>7108481.6021530079</v>
      </c>
      <c r="H451" s="336">
        <f t="shared" si="20"/>
        <v>12788158.40227326</v>
      </c>
      <c r="I451" s="336"/>
      <c r="J451" s="336">
        <f t="shared" si="21"/>
        <v>12788158.40227326</v>
      </c>
    </row>
    <row r="452" spans="1:10">
      <c r="A452" s="303">
        <v>145</v>
      </c>
      <c r="B452" s="307" t="s">
        <v>429</v>
      </c>
      <c r="C452" s="352" t="s">
        <v>329</v>
      </c>
      <c r="D452" s="355">
        <v>0.53700000000000003</v>
      </c>
      <c r="E452" s="342"/>
      <c r="F452" s="342">
        <f t="shared" si="22"/>
        <v>0.53700000000000003</v>
      </c>
      <c r="G452" s="336">
        <v>4683274.2184133623</v>
      </c>
      <c r="H452" s="336">
        <f t="shared" si="20"/>
        <v>2514918.2552879755</v>
      </c>
      <c r="I452" s="336"/>
      <c r="J452" s="336">
        <f t="shared" si="21"/>
        <v>2514918.2552879755</v>
      </c>
    </row>
    <row r="453" spans="1:10">
      <c r="A453" s="303">
        <v>146</v>
      </c>
      <c r="B453" s="309" t="s">
        <v>430</v>
      </c>
      <c r="C453" s="352" t="s">
        <v>504</v>
      </c>
      <c r="D453" s="355">
        <v>0.28799999999999998</v>
      </c>
      <c r="E453" s="342"/>
      <c r="F453" s="342">
        <f t="shared" si="22"/>
        <v>0.28799999999999998</v>
      </c>
      <c r="G453" s="336">
        <v>25295809.643405579</v>
      </c>
      <c r="H453" s="336">
        <f t="shared" si="20"/>
        <v>7285193.1773008062</v>
      </c>
      <c r="I453" s="336"/>
      <c r="J453" s="336">
        <f t="shared" si="21"/>
        <v>7285193.1773008062</v>
      </c>
    </row>
    <row r="454" spans="1:10">
      <c r="A454" s="303">
        <v>147</v>
      </c>
      <c r="B454" s="309" t="s">
        <v>431</v>
      </c>
      <c r="C454" s="352" t="s">
        <v>67</v>
      </c>
      <c r="D454" s="355">
        <v>0.41499999999999998</v>
      </c>
      <c r="E454" s="342"/>
      <c r="F454" s="342">
        <f t="shared" si="22"/>
        <v>0.41499999999999998</v>
      </c>
      <c r="G454" s="336">
        <v>5558074.4905193755</v>
      </c>
      <c r="H454" s="336">
        <f t="shared" si="20"/>
        <v>2306600.9135655407</v>
      </c>
      <c r="I454" s="336"/>
      <c r="J454" s="336">
        <f t="shared" si="21"/>
        <v>2306600.9135655407</v>
      </c>
    </row>
    <row r="455" spans="1:10">
      <c r="A455" s="305"/>
      <c r="B455" s="312" t="s">
        <v>450</v>
      </c>
      <c r="C455" s="352"/>
      <c r="D455" s="340">
        <v>0</v>
      </c>
      <c r="E455" s="342"/>
      <c r="F455" s="342">
        <f t="shared" si="22"/>
        <v>0</v>
      </c>
      <c r="G455" s="336">
        <v>0</v>
      </c>
      <c r="H455" s="336">
        <f t="shared" si="20"/>
        <v>0</v>
      </c>
      <c r="I455" s="336"/>
      <c r="J455" s="336">
        <f t="shared" si="21"/>
        <v>0</v>
      </c>
    </row>
    <row r="456" spans="1:10">
      <c r="A456" s="303">
        <v>148</v>
      </c>
      <c r="B456" s="309" t="s">
        <v>417</v>
      </c>
      <c r="C456" s="352" t="s">
        <v>323</v>
      </c>
      <c r="D456" s="355">
        <v>0.19</v>
      </c>
      <c r="E456" s="342"/>
      <c r="F456" s="342">
        <f t="shared" si="22"/>
        <v>0.19</v>
      </c>
      <c r="G456" s="336">
        <v>1843516.7108116439</v>
      </c>
      <c r="H456" s="336">
        <f t="shared" si="20"/>
        <v>350268.17505421233</v>
      </c>
      <c r="I456" s="336"/>
      <c r="J456" s="336">
        <f t="shared" si="21"/>
        <v>350268.17505421233</v>
      </c>
    </row>
    <row r="457" spans="1:10">
      <c r="A457" s="303">
        <v>149</v>
      </c>
      <c r="B457" s="309" t="s">
        <v>401</v>
      </c>
      <c r="C457" s="352" t="s">
        <v>106</v>
      </c>
      <c r="D457" s="355">
        <v>8.2000000000000003E-2</v>
      </c>
      <c r="E457" s="342"/>
      <c r="F457" s="342">
        <f t="shared" si="22"/>
        <v>8.2000000000000003E-2</v>
      </c>
      <c r="G457" s="336">
        <v>3027931.0010723178</v>
      </c>
      <c r="H457" s="336">
        <f t="shared" si="20"/>
        <v>248290.34208793007</v>
      </c>
      <c r="I457" s="336"/>
      <c r="J457" s="336">
        <f t="shared" si="21"/>
        <v>248290.34208793007</v>
      </c>
    </row>
    <row r="458" spans="1:10">
      <c r="A458" s="303">
        <v>150</v>
      </c>
      <c r="B458" s="309" t="s">
        <v>418</v>
      </c>
      <c r="C458" s="352" t="s">
        <v>509</v>
      </c>
      <c r="D458" s="355">
        <v>2</v>
      </c>
      <c r="E458" s="342"/>
      <c r="F458" s="342">
        <f t="shared" si="22"/>
        <v>2</v>
      </c>
      <c r="G458" s="336">
        <v>608345.70500000007</v>
      </c>
      <c r="H458" s="336">
        <f t="shared" si="20"/>
        <v>1216691.4100000001</v>
      </c>
      <c r="I458" s="336"/>
      <c r="J458" s="336">
        <f t="shared" si="21"/>
        <v>1216691.4100000001</v>
      </c>
    </row>
    <row r="459" spans="1:10">
      <c r="A459" s="303">
        <v>151</v>
      </c>
      <c r="B459" s="309" t="s">
        <v>419</v>
      </c>
      <c r="C459" s="352" t="s">
        <v>504</v>
      </c>
      <c r="D459" s="355">
        <v>0.02</v>
      </c>
      <c r="E459" s="342"/>
      <c r="F459" s="342">
        <f t="shared" si="22"/>
        <v>0.02</v>
      </c>
      <c r="G459" s="336">
        <v>90229834.965600014</v>
      </c>
      <c r="H459" s="336">
        <f t="shared" si="20"/>
        <v>1804596.6993120003</v>
      </c>
      <c r="I459" s="336"/>
      <c r="J459" s="336">
        <f t="shared" si="21"/>
        <v>1804596.6993120003</v>
      </c>
    </row>
    <row r="460" spans="1:10">
      <c r="A460" s="303">
        <v>152</v>
      </c>
      <c r="B460" s="309" t="s">
        <v>420</v>
      </c>
      <c r="C460" s="352" t="s">
        <v>320</v>
      </c>
      <c r="D460" s="355">
        <v>1.6140000000000001</v>
      </c>
      <c r="E460" s="342"/>
      <c r="F460" s="342">
        <f t="shared" si="22"/>
        <v>1.6140000000000001</v>
      </c>
      <c r="G460" s="336">
        <v>19341236.714466874</v>
      </c>
      <c r="H460" s="336">
        <f t="shared" si="20"/>
        <v>31216756.057149537</v>
      </c>
      <c r="I460" s="336"/>
      <c r="J460" s="336">
        <f t="shared" si="21"/>
        <v>31216756.057149537</v>
      </c>
    </row>
    <row r="461" spans="1:10">
      <c r="A461" s="314"/>
      <c r="B461" s="312" t="s">
        <v>580</v>
      </c>
      <c r="C461" s="368" t="s">
        <v>318</v>
      </c>
      <c r="D461" s="355">
        <v>0</v>
      </c>
      <c r="E461" s="342"/>
      <c r="F461" s="342">
        <f t="shared" si="22"/>
        <v>0</v>
      </c>
      <c r="G461" s="336">
        <v>0</v>
      </c>
      <c r="H461" s="336">
        <f t="shared" si="20"/>
        <v>0</v>
      </c>
      <c r="I461" s="336"/>
      <c r="J461" s="336">
        <f t="shared" si="21"/>
        <v>0</v>
      </c>
    </row>
    <row r="462" spans="1:10" ht="33">
      <c r="A462" s="305">
        <v>153</v>
      </c>
      <c r="B462" s="309" t="s">
        <v>439</v>
      </c>
      <c r="C462" s="352" t="s">
        <v>323</v>
      </c>
      <c r="D462" s="355">
        <v>38</v>
      </c>
      <c r="E462" s="342"/>
      <c r="F462" s="342">
        <f t="shared" si="22"/>
        <v>38</v>
      </c>
      <c r="G462" s="336">
        <v>1925346.7504041949</v>
      </c>
      <c r="H462" s="336">
        <f t="shared" si="20"/>
        <v>73163176.515359402</v>
      </c>
      <c r="I462" s="336"/>
      <c r="J462" s="336">
        <f t="shared" si="21"/>
        <v>73163176.515359402</v>
      </c>
    </row>
    <row r="463" spans="1:10" ht="33">
      <c r="A463" s="305">
        <v>154</v>
      </c>
      <c r="B463" s="309" t="s">
        <v>397</v>
      </c>
      <c r="C463" s="352" t="s">
        <v>323</v>
      </c>
      <c r="D463" s="355">
        <v>3.25</v>
      </c>
      <c r="E463" s="342"/>
      <c r="F463" s="342">
        <f t="shared" si="22"/>
        <v>3.25</v>
      </c>
      <c r="G463" s="336">
        <v>2426266.6352811917</v>
      </c>
      <c r="H463" s="336">
        <f t="shared" ref="H463:H526" si="23">D463*G463</f>
        <v>7885366.5646638731</v>
      </c>
      <c r="I463" s="336"/>
      <c r="J463" s="336">
        <f t="shared" ref="J463:J527" si="24">F463*G463</f>
        <v>7885366.5646638731</v>
      </c>
    </row>
    <row r="464" spans="1:10" ht="33">
      <c r="A464" s="305">
        <v>155</v>
      </c>
      <c r="B464" s="309" t="s">
        <v>613</v>
      </c>
      <c r="C464" s="352" t="s">
        <v>323</v>
      </c>
      <c r="D464" s="355">
        <v>3.06</v>
      </c>
      <c r="E464" s="342"/>
      <c r="F464" s="342">
        <f t="shared" si="22"/>
        <v>3.06</v>
      </c>
      <c r="G464" s="336">
        <v>2608057.7646897146</v>
      </c>
      <c r="H464" s="336">
        <f t="shared" si="23"/>
        <v>7980656.759950527</v>
      </c>
      <c r="I464" s="336"/>
      <c r="J464" s="336">
        <f t="shared" si="24"/>
        <v>7980656.759950527</v>
      </c>
    </row>
    <row r="465" spans="1:10">
      <c r="A465" s="305">
        <v>156</v>
      </c>
      <c r="B465" s="309" t="s">
        <v>388</v>
      </c>
      <c r="C465" s="352" t="s">
        <v>326</v>
      </c>
      <c r="D465" s="355">
        <v>45.417999999999999</v>
      </c>
      <c r="E465" s="342"/>
      <c r="F465" s="342">
        <f t="shared" si="22"/>
        <v>45.417999999999999</v>
      </c>
      <c r="G465" s="336">
        <v>30806.869839482002</v>
      </c>
      <c r="H465" s="336">
        <f t="shared" si="23"/>
        <v>1399186.4143695936</v>
      </c>
      <c r="I465" s="336"/>
      <c r="J465" s="336">
        <f t="shared" si="24"/>
        <v>1399186.4143695936</v>
      </c>
    </row>
    <row r="466" spans="1:10">
      <c r="A466" s="305">
        <v>157</v>
      </c>
      <c r="B466" s="309" t="s">
        <v>353</v>
      </c>
      <c r="C466" s="352" t="s">
        <v>325</v>
      </c>
      <c r="D466" s="355">
        <v>1.82</v>
      </c>
      <c r="E466" s="342"/>
      <c r="F466" s="342">
        <f t="shared" si="22"/>
        <v>1.82</v>
      </c>
      <c r="G466" s="336">
        <v>636406.25898883003</v>
      </c>
      <c r="H466" s="336">
        <f t="shared" si="23"/>
        <v>1158259.3913596708</v>
      </c>
      <c r="I466" s="336"/>
      <c r="J466" s="336">
        <f t="shared" si="24"/>
        <v>1158259.3913596708</v>
      </c>
    </row>
    <row r="467" spans="1:10">
      <c r="A467" s="305">
        <v>158</v>
      </c>
      <c r="B467" s="307" t="s">
        <v>402</v>
      </c>
      <c r="C467" s="352" t="s">
        <v>331</v>
      </c>
      <c r="D467" s="355">
        <v>142.667</v>
      </c>
      <c r="E467" s="342"/>
      <c r="F467" s="342">
        <f t="shared" si="22"/>
        <v>142.667</v>
      </c>
      <c r="G467" s="336">
        <v>61715.820088263004</v>
      </c>
      <c r="H467" s="336">
        <f t="shared" si="23"/>
        <v>8804810.9045322184</v>
      </c>
      <c r="I467" s="336"/>
      <c r="J467" s="336">
        <f t="shared" si="24"/>
        <v>8804810.9045322184</v>
      </c>
    </row>
    <row r="468" spans="1:10">
      <c r="A468" s="305">
        <v>159</v>
      </c>
      <c r="B468" s="307" t="s">
        <v>389</v>
      </c>
      <c r="C468" s="352" t="s">
        <v>328</v>
      </c>
      <c r="D468" s="355">
        <v>0.63</v>
      </c>
      <c r="E468" s="342"/>
      <c r="F468" s="342">
        <f t="shared" si="22"/>
        <v>0.63</v>
      </c>
      <c r="G468" s="336">
        <v>1453528.4231198058</v>
      </c>
      <c r="H468" s="336">
        <f t="shared" si="23"/>
        <v>915722.90656547761</v>
      </c>
      <c r="I468" s="336"/>
      <c r="J468" s="336">
        <f t="shared" si="24"/>
        <v>915722.90656547761</v>
      </c>
    </row>
    <row r="469" spans="1:10">
      <c r="A469" s="305">
        <v>160</v>
      </c>
      <c r="B469" s="309" t="s">
        <v>412</v>
      </c>
      <c r="C469" s="352" t="s">
        <v>504</v>
      </c>
      <c r="D469" s="355">
        <v>2.1280000000000001</v>
      </c>
      <c r="E469" s="342"/>
      <c r="F469" s="342">
        <f t="shared" si="22"/>
        <v>2.1280000000000001</v>
      </c>
      <c r="G469" s="336">
        <v>22970498.221207418</v>
      </c>
      <c r="H469" s="336">
        <f t="shared" si="23"/>
        <v>48881220.214729384</v>
      </c>
      <c r="I469" s="336"/>
      <c r="J469" s="336">
        <f t="shared" si="24"/>
        <v>48881220.214729384</v>
      </c>
    </row>
    <row r="470" spans="1:10">
      <c r="A470" s="305">
        <v>161</v>
      </c>
      <c r="B470" s="309" t="s">
        <v>441</v>
      </c>
      <c r="C470" s="352" t="s">
        <v>614</v>
      </c>
      <c r="D470" s="355">
        <v>14</v>
      </c>
      <c r="E470" s="342"/>
      <c r="F470" s="342">
        <f t="shared" si="22"/>
        <v>14</v>
      </c>
      <c r="G470" s="336">
        <v>1119419.8518298841</v>
      </c>
      <c r="H470" s="336">
        <f t="shared" si="23"/>
        <v>15671877.925618377</v>
      </c>
      <c r="I470" s="336"/>
      <c r="J470" s="336">
        <f t="shared" si="24"/>
        <v>15671877.925618377</v>
      </c>
    </row>
    <row r="471" spans="1:10">
      <c r="A471" s="305">
        <v>162</v>
      </c>
      <c r="B471" s="307" t="s">
        <v>350</v>
      </c>
      <c r="C471" s="352" t="s">
        <v>581</v>
      </c>
      <c r="D471" s="355">
        <v>49</v>
      </c>
      <c r="E471" s="342"/>
      <c r="F471" s="342">
        <f t="shared" si="22"/>
        <v>49</v>
      </c>
      <c r="G471" s="336">
        <v>3940155.8492659442</v>
      </c>
      <c r="H471" s="336">
        <f t="shared" si="23"/>
        <v>193067636.61403126</v>
      </c>
      <c r="I471" s="336"/>
      <c r="J471" s="336">
        <f t="shared" si="24"/>
        <v>193067636.61403126</v>
      </c>
    </row>
    <row r="472" spans="1:10">
      <c r="A472" s="305">
        <v>163</v>
      </c>
      <c r="B472" s="307" t="s">
        <v>442</v>
      </c>
      <c r="C472" s="352" t="s">
        <v>325</v>
      </c>
      <c r="D472" s="355">
        <v>7.48</v>
      </c>
      <c r="E472" s="342"/>
      <c r="F472" s="342">
        <f t="shared" si="22"/>
        <v>7.48</v>
      </c>
      <c r="G472" s="336">
        <v>3098548.0138470004</v>
      </c>
      <c r="H472" s="336">
        <f t="shared" si="23"/>
        <v>23177139.143575564</v>
      </c>
      <c r="I472" s="336"/>
      <c r="J472" s="336">
        <f t="shared" si="24"/>
        <v>23177139.143575564</v>
      </c>
    </row>
    <row r="473" spans="1:10">
      <c r="A473" s="305">
        <v>164</v>
      </c>
      <c r="B473" s="307" t="s">
        <v>348</v>
      </c>
      <c r="C473" s="352" t="s">
        <v>322</v>
      </c>
      <c r="D473" s="355">
        <v>0.13200000000000001</v>
      </c>
      <c r="E473" s="342"/>
      <c r="F473" s="342">
        <f t="shared" ref="F473:F526" si="25">D473</f>
        <v>0.13200000000000001</v>
      </c>
      <c r="G473" s="336">
        <v>81099718.991999239</v>
      </c>
      <c r="H473" s="336">
        <f t="shared" si="23"/>
        <v>10705162.906943901</v>
      </c>
      <c r="I473" s="336"/>
      <c r="J473" s="336">
        <f t="shared" si="24"/>
        <v>10705162.906943901</v>
      </c>
    </row>
    <row r="474" spans="1:10">
      <c r="A474" s="305">
        <v>165</v>
      </c>
      <c r="B474" s="309" t="s">
        <v>399</v>
      </c>
      <c r="C474" s="352" t="s">
        <v>323</v>
      </c>
      <c r="D474" s="355">
        <v>4.04</v>
      </c>
      <c r="E474" s="342"/>
      <c r="F474" s="342">
        <f t="shared" si="25"/>
        <v>4.04</v>
      </c>
      <c r="G474" s="336">
        <v>1179580.4969578851</v>
      </c>
      <c r="H474" s="336">
        <f t="shared" si="23"/>
        <v>4765505.2077098554</v>
      </c>
      <c r="I474" s="336"/>
      <c r="J474" s="336">
        <f t="shared" si="24"/>
        <v>4765505.2077098554</v>
      </c>
    </row>
    <row r="475" spans="1:10">
      <c r="A475" s="305">
        <v>166</v>
      </c>
      <c r="B475" s="309" t="s">
        <v>408</v>
      </c>
      <c r="C475" s="352" t="s">
        <v>106</v>
      </c>
      <c r="D475" s="355">
        <v>0.18</v>
      </c>
      <c r="E475" s="342"/>
      <c r="F475" s="342">
        <f t="shared" si="25"/>
        <v>0.18</v>
      </c>
      <c r="G475" s="336">
        <v>3027931.0010723178</v>
      </c>
      <c r="H475" s="336">
        <f t="shared" si="23"/>
        <v>545027.58019301714</v>
      </c>
      <c r="I475" s="336"/>
      <c r="J475" s="336">
        <f t="shared" si="24"/>
        <v>545027.58019301714</v>
      </c>
    </row>
    <row r="476" spans="1:10">
      <c r="A476" s="305">
        <v>167</v>
      </c>
      <c r="B476" s="309" t="s">
        <v>443</v>
      </c>
      <c r="C476" s="352" t="s">
        <v>67</v>
      </c>
      <c r="D476" s="355">
        <v>0.31</v>
      </c>
      <c r="E476" s="342"/>
      <c r="F476" s="342">
        <f t="shared" si="25"/>
        <v>0.31</v>
      </c>
      <c r="G476" s="336">
        <v>4424154.5971416747</v>
      </c>
      <c r="H476" s="336">
        <f t="shared" si="23"/>
        <v>1371487.9251139192</v>
      </c>
      <c r="I476" s="336"/>
      <c r="J476" s="336">
        <f t="shared" si="24"/>
        <v>1371487.9251139192</v>
      </c>
    </row>
    <row r="477" spans="1:10">
      <c r="A477" s="305">
        <v>168</v>
      </c>
      <c r="B477" s="309" t="s">
        <v>582</v>
      </c>
      <c r="C477" s="352" t="s">
        <v>67</v>
      </c>
      <c r="D477" s="355">
        <v>0.17699999999999999</v>
      </c>
      <c r="E477" s="342"/>
      <c r="F477" s="342">
        <f t="shared" si="25"/>
        <v>0.17699999999999999</v>
      </c>
      <c r="G477" s="336">
        <v>9177962.8499755561</v>
      </c>
      <c r="H477" s="336">
        <f t="shared" si="23"/>
        <v>1624499.4244456734</v>
      </c>
      <c r="I477" s="336"/>
      <c r="J477" s="336">
        <f t="shared" si="24"/>
        <v>1624499.4244456734</v>
      </c>
    </row>
    <row r="478" spans="1:10" ht="33">
      <c r="A478" s="305">
        <v>169</v>
      </c>
      <c r="B478" s="309" t="s">
        <v>615</v>
      </c>
      <c r="C478" s="352" t="s">
        <v>324</v>
      </c>
      <c r="D478" s="355">
        <v>12.555</v>
      </c>
      <c r="E478" s="342"/>
      <c r="F478" s="342">
        <f t="shared" si="25"/>
        <v>12.555</v>
      </c>
      <c r="G478" s="336">
        <v>1687918.3048066788</v>
      </c>
      <c r="H478" s="336">
        <f t="shared" si="23"/>
        <v>21191814.316847853</v>
      </c>
      <c r="I478" s="336"/>
      <c r="J478" s="336">
        <f t="shared" si="24"/>
        <v>21191814.316847853</v>
      </c>
    </row>
    <row r="479" spans="1:10">
      <c r="A479" s="311"/>
      <c r="B479" s="315" t="s">
        <v>616</v>
      </c>
      <c r="C479" s="352"/>
      <c r="D479" s="355">
        <v>0</v>
      </c>
      <c r="E479" s="342"/>
      <c r="F479" s="342">
        <f t="shared" si="25"/>
        <v>0</v>
      </c>
      <c r="G479" s="336">
        <v>0</v>
      </c>
      <c r="H479" s="336">
        <f t="shared" si="23"/>
        <v>0</v>
      </c>
      <c r="I479" s="336"/>
      <c r="J479" s="336">
        <f t="shared" si="24"/>
        <v>0</v>
      </c>
    </row>
    <row r="480" spans="1:10">
      <c r="A480" s="303">
        <v>170</v>
      </c>
      <c r="B480" s="309" t="s">
        <v>359</v>
      </c>
      <c r="C480" s="352" t="s">
        <v>323</v>
      </c>
      <c r="D480" s="355">
        <v>0.9</v>
      </c>
      <c r="E480" s="342"/>
      <c r="F480" s="342">
        <f t="shared" si="25"/>
        <v>0.9</v>
      </c>
      <c r="G480" s="336">
        <v>1843516.7108116439</v>
      </c>
      <c r="H480" s="336">
        <f t="shared" si="23"/>
        <v>1659165.0397304795</v>
      </c>
      <c r="I480" s="336"/>
      <c r="J480" s="336">
        <f t="shared" si="24"/>
        <v>1659165.0397304795</v>
      </c>
    </row>
    <row r="481" spans="1:10">
      <c r="A481" s="303">
        <v>171</v>
      </c>
      <c r="B481" s="309" t="s">
        <v>360</v>
      </c>
      <c r="C481" s="352" t="s">
        <v>323</v>
      </c>
      <c r="D481" s="355">
        <v>0.4</v>
      </c>
      <c r="E481" s="342"/>
      <c r="F481" s="342">
        <f t="shared" si="25"/>
        <v>0.4</v>
      </c>
      <c r="G481" s="336">
        <v>1760696.5265329438</v>
      </c>
      <c r="H481" s="336">
        <f t="shared" si="23"/>
        <v>704278.61061317753</v>
      </c>
      <c r="I481" s="336"/>
      <c r="J481" s="336">
        <f t="shared" si="24"/>
        <v>704278.61061317753</v>
      </c>
    </row>
    <row r="482" spans="1:10">
      <c r="A482" s="303">
        <v>172</v>
      </c>
      <c r="B482" s="307" t="s">
        <v>402</v>
      </c>
      <c r="C482" s="352" t="s">
        <v>331</v>
      </c>
      <c r="D482" s="355">
        <v>3.3330000000000002</v>
      </c>
      <c r="E482" s="342"/>
      <c r="F482" s="342">
        <f t="shared" si="25"/>
        <v>3.3330000000000002</v>
      </c>
      <c r="G482" s="336">
        <v>61715.820088263004</v>
      </c>
      <c r="H482" s="336">
        <f t="shared" si="23"/>
        <v>205698.82835418062</v>
      </c>
      <c r="I482" s="336"/>
      <c r="J482" s="336">
        <f t="shared" si="24"/>
        <v>205698.82835418062</v>
      </c>
    </row>
    <row r="483" spans="1:10">
      <c r="A483" s="303">
        <v>173</v>
      </c>
      <c r="B483" s="307" t="s">
        <v>566</v>
      </c>
      <c r="C483" s="352" t="s">
        <v>567</v>
      </c>
      <c r="D483" s="355">
        <v>20</v>
      </c>
      <c r="E483" s="342"/>
      <c r="F483" s="342">
        <f t="shared" si="25"/>
        <v>20</v>
      </c>
      <c r="G483" s="336">
        <v>16110.089290669001</v>
      </c>
      <c r="H483" s="336">
        <f t="shared" si="23"/>
        <v>322201.78581338003</v>
      </c>
      <c r="I483" s="336"/>
      <c r="J483" s="336">
        <f t="shared" si="24"/>
        <v>322201.78581338003</v>
      </c>
    </row>
    <row r="484" spans="1:10">
      <c r="A484" s="303">
        <v>174</v>
      </c>
      <c r="B484" s="309" t="s">
        <v>568</v>
      </c>
      <c r="C484" s="352" t="s">
        <v>569</v>
      </c>
      <c r="D484" s="355">
        <v>12</v>
      </c>
      <c r="E484" s="342"/>
      <c r="F484" s="342">
        <f t="shared" si="25"/>
        <v>12</v>
      </c>
      <c r="G484" s="336">
        <v>635997.81568249292</v>
      </c>
      <c r="H484" s="336">
        <f t="shared" si="23"/>
        <v>7631973.788189915</v>
      </c>
      <c r="I484" s="336"/>
      <c r="J484" s="336">
        <f t="shared" si="24"/>
        <v>7631973.788189915</v>
      </c>
    </row>
    <row r="485" spans="1:10">
      <c r="A485" s="303">
        <v>175</v>
      </c>
      <c r="B485" s="309" t="s">
        <v>570</v>
      </c>
      <c r="C485" s="352" t="s">
        <v>509</v>
      </c>
      <c r="D485" s="355">
        <v>16</v>
      </c>
      <c r="E485" s="342"/>
      <c r="F485" s="342">
        <f t="shared" si="25"/>
        <v>16</v>
      </c>
      <c r="G485" s="336">
        <v>445808.99456036906</v>
      </c>
      <c r="H485" s="336">
        <f t="shared" si="23"/>
        <v>7132943.9129659049</v>
      </c>
      <c r="I485" s="336"/>
      <c r="J485" s="336">
        <f t="shared" si="24"/>
        <v>7132943.9129659049</v>
      </c>
    </row>
    <row r="486" spans="1:10">
      <c r="A486" s="303">
        <v>176</v>
      </c>
      <c r="B486" s="309" t="s">
        <v>571</v>
      </c>
      <c r="C486" s="352" t="s">
        <v>509</v>
      </c>
      <c r="D486" s="355">
        <v>16</v>
      </c>
      <c r="E486" s="342"/>
      <c r="F486" s="342">
        <f t="shared" si="25"/>
        <v>16</v>
      </c>
      <c r="G486" s="336">
        <v>74875.189371400003</v>
      </c>
      <c r="H486" s="336">
        <f t="shared" si="23"/>
        <v>1198003.0299424001</v>
      </c>
      <c r="I486" s="336"/>
      <c r="J486" s="336">
        <f t="shared" si="24"/>
        <v>1198003.0299424001</v>
      </c>
    </row>
    <row r="487" spans="1:10">
      <c r="A487" s="303">
        <v>177</v>
      </c>
      <c r="B487" s="309" t="s">
        <v>572</v>
      </c>
      <c r="C487" s="352" t="s">
        <v>569</v>
      </c>
      <c r="D487" s="355">
        <v>8</v>
      </c>
      <c r="E487" s="342"/>
      <c r="F487" s="342">
        <f t="shared" si="25"/>
        <v>8</v>
      </c>
      <c r="G487" s="336">
        <v>198411.34334004502</v>
      </c>
      <c r="H487" s="336">
        <f t="shared" si="23"/>
        <v>1587290.7467203601</v>
      </c>
      <c r="I487" s="336"/>
      <c r="J487" s="336">
        <f t="shared" si="24"/>
        <v>1587290.7467203601</v>
      </c>
    </row>
    <row r="488" spans="1:10">
      <c r="A488" s="303">
        <v>178</v>
      </c>
      <c r="B488" s="309" t="s">
        <v>573</v>
      </c>
      <c r="C488" s="352" t="s">
        <v>574</v>
      </c>
      <c r="D488" s="355">
        <v>16</v>
      </c>
      <c r="E488" s="342"/>
      <c r="F488" s="342">
        <f t="shared" si="25"/>
        <v>16</v>
      </c>
      <c r="G488" s="336">
        <v>30562.193196930999</v>
      </c>
      <c r="H488" s="336">
        <f t="shared" si="23"/>
        <v>488995.09115089598</v>
      </c>
      <c r="I488" s="336"/>
      <c r="J488" s="336">
        <f t="shared" si="24"/>
        <v>488995.09115089598</v>
      </c>
    </row>
    <row r="489" spans="1:10">
      <c r="A489" s="303">
        <v>179</v>
      </c>
      <c r="B489" s="309" t="s">
        <v>575</v>
      </c>
      <c r="C489" s="352" t="s">
        <v>574</v>
      </c>
      <c r="D489" s="355">
        <v>128</v>
      </c>
      <c r="E489" s="342"/>
      <c r="F489" s="342">
        <f t="shared" si="25"/>
        <v>128</v>
      </c>
      <c r="G489" s="336">
        <v>4473.0442997240007</v>
      </c>
      <c r="H489" s="336">
        <f t="shared" si="23"/>
        <v>572549.67036467209</v>
      </c>
      <c r="I489" s="336"/>
      <c r="J489" s="336">
        <f t="shared" si="24"/>
        <v>572549.67036467209</v>
      </c>
    </row>
    <row r="490" spans="1:10">
      <c r="A490" s="303">
        <v>180</v>
      </c>
      <c r="B490" s="309" t="s">
        <v>576</v>
      </c>
      <c r="C490" s="352" t="s">
        <v>577</v>
      </c>
      <c r="D490" s="355">
        <v>16</v>
      </c>
      <c r="E490" s="342"/>
      <c r="F490" s="342">
        <f t="shared" si="25"/>
        <v>16</v>
      </c>
      <c r="G490" s="336">
        <v>58659.612935484001</v>
      </c>
      <c r="H490" s="336">
        <f t="shared" si="23"/>
        <v>938553.80696774402</v>
      </c>
      <c r="I490" s="336"/>
      <c r="J490" s="336">
        <f t="shared" si="24"/>
        <v>938553.80696774402</v>
      </c>
    </row>
    <row r="491" spans="1:10">
      <c r="A491" s="303">
        <v>181</v>
      </c>
      <c r="B491" s="309" t="s">
        <v>361</v>
      </c>
      <c r="C491" s="352" t="s">
        <v>67</v>
      </c>
      <c r="D491" s="355">
        <v>0.17899999999999999</v>
      </c>
      <c r="E491" s="342"/>
      <c r="F491" s="342">
        <f t="shared" si="25"/>
        <v>0.17899999999999999</v>
      </c>
      <c r="G491" s="336">
        <v>4683274.2184133623</v>
      </c>
      <c r="H491" s="336">
        <f t="shared" si="23"/>
        <v>838306.08509599185</v>
      </c>
      <c r="I491" s="336"/>
      <c r="J491" s="336">
        <f t="shared" si="24"/>
        <v>838306.08509599185</v>
      </c>
    </row>
    <row r="492" spans="1:10">
      <c r="A492" s="314"/>
      <c r="B492" s="308" t="s">
        <v>578</v>
      </c>
      <c r="C492" s="368" t="s">
        <v>318</v>
      </c>
      <c r="D492" s="355">
        <v>0</v>
      </c>
      <c r="E492" s="342"/>
      <c r="F492" s="342">
        <f t="shared" si="25"/>
        <v>0</v>
      </c>
      <c r="G492" s="336">
        <v>0</v>
      </c>
      <c r="H492" s="336">
        <f t="shared" si="23"/>
        <v>0</v>
      </c>
      <c r="I492" s="336"/>
      <c r="J492" s="336">
        <f t="shared" si="24"/>
        <v>0</v>
      </c>
    </row>
    <row r="493" spans="1:10">
      <c r="A493" s="303">
        <v>182</v>
      </c>
      <c r="B493" s="309" t="s">
        <v>445</v>
      </c>
      <c r="C493" s="352" t="s">
        <v>579</v>
      </c>
      <c r="D493" s="355">
        <v>1E-3</v>
      </c>
      <c r="E493" s="342"/>
      <c r="F493" s="342">
        <f t="shared" si="25"/>
        <v>1E-3</v>
      </c>
      <c r="G493" s="336">
        <v>23642582.73910309</v>
      </c>
      <c r="H493" s="336">
        <f t="shared" si="23"/>
        <v>23642.582739103091</v>
      </c>
      <c r="I493" s="336"/>
      <c r="J493" s="336">
        <f t="shared" si="24"/>
        <v>23642.582739103091</v>
      </c>
    </row>
    <row r="494" spans="1:10">
      <c r="A494" s="303">
        <v>183</v>
      </c>
      <c r="B494" s="309" t="s">
        <v>272</v>
      </c>
      <c r="C494" s="352" t="s">
        <v>504</v>
      </c>
      <c r="D494" s="355">
        <v>2E-3</v>
      </c>
      <c r="E494" s="342"/>
      <c r="F494" s="342">
        <f t="shared" si="25"/>
        <v>2E-3</v>
      </c>
      <c r="G494" s="336">
        <v>28424880.916324392</v>
      </c>
      <c r="H494" s="336">
        <f t="shared" si="23"/>
        <v>56849.761832648786</v>
      </c>
      <c r="I494" s="336"/>
      <c r="J494" s="336">
        <f t="shared" si="24"/>
        <v>56849.761832648786</v>
      </c>
    </row>
    <row r="495" spans="1:10">
      <c r="A495" s="303">
        <v>184</v>
      </c>
      <c r="B495" s="309" t="s">
        <v>446</v>
      </c>
      <c r="C495" s="352" t="s">
        <v>617</v>
      </c>
      <c r="D495" s="355">
        <v>4</v>
      </c>
      <c r="E495" s="342"/>
      <c r="F495" s="342">
        <f t="shared" si="25"/>
        <v>4</v>
      </c>
      <c r="G495" s="336">
        <v>2433.3828200000003</v>
      </c>
      <c r="H495" s="336">
        <f t="shared" si="23"/>
        <v>9733.5312800000011</v>
      </c>
      <c r="I495" s="336"/>
      <c r="J495" s="336">
        <f t="shared" si="24"/>
        <v>9733.5312800000011</v>
      </c>
    </row>
    <row r="496" spans="1:10">
      <c r="A496" s="303">
        <v>185</v>
      </c>
      <c r="B496" s="309" t="s">
        <v>444</v>
      </c>
      <c r="C496" s="352" t="s">
        <v>331</v>
      </c>
      <c r="D496" s="355">
        <v>31.25</v>
      </c>
      <c r="E496" s="342"/>
      <c r="F496" s="342">
        <f t="shared" si="25"/>
        <v>31.25</v>
      </c>
      <c r="G496" s="336">
        <v>37265.432851184996</v>
      </c>
      <c r="H496" s="336">
        <f t="shared" si="23"/>
        <v>1164544.7765995311</v>
      </c>
      <c r="I496" s="336"/>
      <c r="J496" s="336">
        <f t="shared" si="24"/>
        <v>1164544.7765995311</v>
      </c>
    </row>
    <row r="497" spans="1:10">
      <c r="A497" s="303"/>
      <c r="B497" s="312" t="s">
        <v>451</v>
      </c>
      <c r="C497" s="352"/>
      <c r="D497" s="355">
        <v>0</v>
      </c>
      <c r="E497" s="342"/>
      <c r="F497" s="342">
        <f t="shared" si="25"/>
        <v>0</v>
      </c>
      <c r="G497" s="336">
        <v>0</v>
      </c>
      <c r="H497" s="336">
        <f t="shared" si="23"/>
        <v>0</v>
      </c>
      <c r="I497" s="336"/>
      <c r="J497" s="336">
        <f t="shared" si="24"/>
        <v>0</v>
      </c>
    </row>
    <row r="498" spans="1:10">
      <c r="A498" s="305">
        <v>185</v>
      </c>
      <c r="B498" s="309" t="s">
        <v>432</v>
      </c>
      <c r="C498" s="352" t="s">
        <v>618</v>
      </c>
      <c r="D498" s="355">
        <v>2</v>
      </c>
      <c r="E498" s="342"/>
      <c r="F498" s="342">
        <f t="shared" si="25"/>
        <v>2</v>
      </c>
      <c r="G498" s="336">
        <v>3716439.2713041548</v>
      </c>
      <c r="H498" s="336">
        <f t="shared" si="23"/>
        <v>7432878.5426083095</v>
      </c>
      <c r="I498" s="336"/>
      <c r="J498" s="336">
        <f t="shared" si="24"/>
        <v>7432878.5426083095</v>
      </c>
    </row>
    <row r="499" spans="1:10">
      <c r="A499" s="305">
        <v>186</v>
      </c>
      <c r="B499" s="309" t="s">
        <v>433</v>
      </c>
      <c r="C499" s="352" t="s">
        <v>90</v>
      </c>
      <c r="D499" s="355">
        <v>50</v>
      </c>
      <c r="E499" s="342"/>
      <c r="F499" s="342">
        <f t="shared" si="25"/>
        <v>50</v>
      </c>
      <c r="G499" s="336">
        <v>8516.8398699999998</v>
      </c>
      <c r="H499" s="336">
        <f t="shared" si="23"/>
        <v>425841.99349999998</v>
      </c>
      <c r="I499" s="336"/>
      <c r="J499" s="336">
        <f t="shared" si="24"/>
        <v>425841.99349999998</v>
      </c>
    </row>
    <row r="500" spans="1:10">
      <c r="A500" s="305">
        <v>187</v>
      </c>
      <c r="B500" s="309" t="s">
        <v>434</v>
      </c>
      <c r="C500" s="352" t="s">
        <v>618</v>
      </c>
      <c r="D500" s="355">
        <v>2</v>
      </c>
      <c r="E500" s="342"/>
      <c r="F500" s="342">
        <f t="shared" si="25"/>
        <v>2</v>
      </c>
      <c r="G500" s="336">
        <v>1196980.644150577</v>
      </c>
      <c r="H500" s="336">
        <f t="shared" si="23"/>
        <v>2393961.288301154</v>
      </c>
      <c r="I500" s="336"/>
      <c r="J500" s="336">
        <f t="shared" si="24"/>
        <v>2393961.288301154</v>
      </c>
    </row>
    <row r="501" spans="1:10">
      <c r="A501" s="305">
        <v>188</v>
      </c>
      <c r="B501" s="309" t="s">
        <v>435</v>
      </c>
      <c r="C501" s="352" t="s">
        <v>618</v>
      </c>
      <c r="D501" s="355">
        <v>2</v>
      </c>
      <c r="E501" s="342"/>
      <c r="F501" s="342">
        <f t="shared" si="25"/>
        <v>2</v>
      </c>
      <c r="G501" s="336">
        <v>2188031.1570547321</v>
      </c>
      <c r="H501" s="336">
        <f t="shared" si="23"/>
        <v>4376062.3141094642</v>
      </c>
      <c r="I501" s="336"/>
      <c r="J501" s="336">
        <f t="shared" si="24"/>
        <v>4376062.3141094642</v>
      </c>
    </row>
    <row r="502" spans="1:10">
      <c r="A502" s="305">
        <v>189</v>
      </c>
      <c r="B502" s="309" t="s">
        <v>436</v>
      </c>
      <c r="C502" s="352" t="s">
        <v>618</v>
      </c>
      <c r="D502" s="355">
        <v>1</v>
      </c>
      <c r="E502" s="342"/>
      <c r="F502" s="342">
        <f t="shared" si="25"/>
        <v>1</v>
      </c>
      <c r="G502" s="336">
        <v>1303164.7102372251</v>
      </c>
      <c r="H502" s="336">
        <f t="shared" si="23"/>
        <v>1303164.7102372251</v>
      </c>
      <c r="I502" s="336"/>
      <c r="J502" s="336">
        <f t="shared" si="24"/>
        <v>1303164.7102372251</v>
      </c>
    </row>
    <row r="503" spans="1:10">
      <c r="A503" s="305">
        <v>190</v>
      </c>
      <c r="B503" s="309" t="s">
        <v>437</v>
      </c>
      <c r="C503" s="352" t="s">
        <v>323</v>
      </c>
      <c r="D503" s="355">
        <v>0.4</v>
      </c>
      <c r="E503" s="342"/>
      <c r="F503" s="342">
        <f t="shared" si="25"/>
        <v>0.4</v>
      </c>
      <c r="G503" s="336">
        <v>1760696.5265329438</v>
      </c>
      <c r="H503" s="336">
        <f t="shared" si="23"/>
        <v>704278.61061317753</v>
      </c>
      <c r="I503" s="336"/>
      <c r="J503" s="336">
        <f t="shared" si="24"/>
        <v>704278.61061317753</v>
      </c>
    </row>
    <row r="504" spans="1:10">
      <c r="A504" s="354"/>
      <c r="B504" s="316" t="s">
        <v>583</v>
      </c>
      <c r="C504" s="352"/>
      <c r="D504" s="340"/>
      <c r="E504" s="342"/>
      <c r="F504" s="342">
        <f t="shared" si="25"/>
        <v>0</v>
      </c>
      <c r="G504" s="336"/>
      <c r="H504" s="336">
        <f t="shared" si="23"/>
        <v>0</v>
      </c>
      <c r="I504" s="336"/>
      <c r="J504" s="336">
        <f t="shared" si="24"/>
        <v>0</v>
      </c>
    </row>
    <row r="505" spans="1:10">
      <c r="A505" s="354"/>
      <c r="B505" s="316" t="s">
        <v>584</v>
      </c>
      <c r="C505" s="352"/>
      <c r="D505" s="340"/>
      <c r="E505" s="342"/>
      <c r="F505" s="342">
        <f t="shared" si="25"/>
        <v>0</v>
      </c>
      <c r="G505" s="336"/>
      <c r="H505" s="336">
        <f t="shared" si="23"/>
        <v>0</v>
      </c>
      <c r="I505" s="336"/>
      <c r="J505" s="336">
        <f t="shared" si="24"/>
        <v>0</v>
      </c>
    </row>
    <row r="506" spans="1:10">
      <c r="A506" s="305">
        <v>198</v>
      </c>
      <c r="B506" s="366" t="s">
        <v>585</v>
      </c>
      <c r="C506" s="317" t="s">
        <v>335</v>
      </c>
      <c r="D506" s="365">
        <v>1</v>
      </c>
      <c r="E506" s="342"/>
      <c r="F506" s="342">
        <f t="shared" si="25"/>
        <v>1</v>
      </c>
      <c r="G506" s="336">
        <v>294224988.72432816</v>
      </c>
      <c r="H506" s="336">
        <f t="shared" si="23"/>
        <v>294224988.72432816</v>
      </c>
      <c r="I506" s="336"/>
      <c r="J506" s="336">
        <f t="shared" si="24"/>
        <v>294224988.72432816</v>
      </c>
    </row>
    <row r="507" spans="1:10">
      <c r="A507" s="305">
        <v>199</v>
      </c>
      <c r="B507" s="366" t="s">
        <v>338</v>
      </c>
      <c r="C507" s="317" t="s">
        <v>335</v>
      </c>
      <c r="D507" s="365">
        <v>1</v>
      </c>
      <c r="E507" s="342"/>
      <c r="F507" s="342">
        <f t="shared" si="25"/>
        <v>1</v>
      </c>
      <c r="G507" s="336">
        <v>138841373.40755224</v>
      </c>
      <c r="H507" s="336">
        <f t="shared" si="23"/>
        <v>138841373.40755224</v>
      </c>
      <c r="I507" s="336"/>
      <c r="J507" s="336">
        <f t="shared" si="24"/>
        <v>138841373.40755224</v>
      </c>
    </row>
    <row r="508" spans="1:10">
      <c r="A508" s="305">
        <v>200</v>
      </c>
      <c r="B508" s="366" t="s">
        <v>339</v>
      </c>
      <c r="C508" s="317" t="s">
        <v>335</v>
      </c>
      <c r="D508" s="365">
        <v>1</v>
      </c>
      <c r="E508" s="342"/>
      <c r="F508" s="342">
        <f t="shared" si="25"/>
        <v>1</v>
      </c>
      <c r="G508" s="336">
        <v>42920113.660825409</v>
      </c>
      <c r="H508" s="336">
        <f t="shared" si="23"/>
        <v>42920113.660825409</v>
      </c>
      <c r="I508" s="336"/>
      <c r="J508" s="336">
        <f t="shared" si="24"/>
        <v>42920113.660825409</v>
      </c>
    </row>
    <row r="509" spans="1:10">
      <c r="A509" s="305">
        <v>201</v>
      </c>
      <c r="B509" s="366" t="s">
        <v>336</v>
      </c>
      <c r="C509" s="317" t="s">
        <v>335</v>
      </c>
      <c r="D509" s="365">
        <v>1</v>
      </c>
      <c r="E509" s="342"/>
      <c r="F509" s="342">
        <f t="shared" si="25"/>
        <v>1</v>
      </c>
      <c r="G509" s="336">
        <v>11132218.726338301</v>
      </c>
      <c r="H509" s="336">
        <f t="shared" si="23"/>
        <v>11132218.726338301</v>
      </c>
      <c r="I509" s="336"/>
      <c r="J509" s="336">
        <f t="shared" si="24"/>
        <v>11132218.726338301</v>
      </c>
    </row>
    <row r="510" spans="1:10">
      <c r="A510" s="305">
        <v>202</v>
      </c>
      <c r="B510" s="366" t="s">
        <v>340</v>
      </c>
      <c r="C510" s="317" t="s">
        <v>335</v>
      </c>
      <c r="D510" s="365">
        <v>1</v>
      </c>
      <c r="E510" s="342"/>
      <c r="F510" s="342">
        <f t="shared" si="25"/>
        <v>1</v>
      </c>
      <c r="G510" s="336">
        <v>3786165.5895592449</v>
      </c>
      <c r="H510" s="336">
        <f t="shared" si="23"/>
        <v>3786165.5895592449</v>
      </c>
      <c r="I510" s="336"/>
      <c r="J510" s="336">
        <f t="shared" si="24"/>
        <v>3786165.5895592449</v>
      </c>
    </row>
    <row r="511" spans="1:10">
      <c r="A511" s="305">
        <v>203</v>
      </c>
      <c r="B511" s="366" t="s">
        <v>586</v>
      </c>
      <c r="C511" s="317" t="s">
        <v>335</v>
      </c>
      <c r="D511" s="365">
        <v>2</v>
      </c>
      <c r="E511" s="342"/>
      <c r="F511" s="342">
        <f t="shared" si="25"/>
        <v>2</v>
      </c>
      <c r="G511" s="336">
        <v>3669379.502345569</v>
      </c>
      <c r="H511" s="336">
        <f t="shared" si="23"/>
        <v>7338759.0046911379</v>
      </c>
      <c r="I511" s="336"/>
      <c r="J511" s="336">
        <f t="shared" si="24"/>
        <v>7338759.0046911379</v>
      </c>
    </row>
    <row r="512" spans="1:10">
      <c r="A512" s="305">
        <v>204</v>
      </c>
      <c r="B512" s="366" t="s">
        <v>587</v>
      </c>
      <c r="C512" s="317" t="s">
        <v>335</v>
      </c>
      <c r="D512" s="365">
        <v>1</v>
      </c>
      <c r="E512" s="342"/>
      <c r="F512" s="342">
        <f t="shared" si="25"/>
        <v>1</v>
      </c>
      <c r="G512" s="336">
        <v>7117370.6599739809</v>
      </c>
      <c r="H512" s="336">
        <f t="shared" si="23"/>
        <v>7117370.6599739809</v>
      </c>
      <c r="I512" s="336"/>
      <c r="J512" s="336">
        <f t="shared" si="24"/>
        <v>7117370.6599739809</v>
      </c>
    </row>
    <row r="513" spans="1:10">
      <c r="A513" s="305">
        <v>205</v>
      </c>
      <c r="B513" s="318" t="s">
        <v>588</v>
      </c>
      <c r="C513" s="317" t="s">
        <v>335</v>
      </c>
      <c r="D513" s="365">
        <v>1</v>
      </c>
      <c r="E513" s="342"/>
      <c r="F513" s="342">
        <f t="shared" si="25"/>
        <v>1</v>
      </c>
      <c r="G513" s="336">
        <v>52380585.805275187</v>
      </c>
      <c r="H513" s="336">
        <f t="shared" si="23"/>
        <v>52380585.805275187</v>
      </c>
      <c r="I513" s="336"/>
      <c r="J513" s="336">
        <f t="shared" si="24"/>
        <v>52380585.805275187</v>
      </c>
    </row>
    <row r="514" spans="1:10">
      <c r="A514" s="305">
        <v>206</v>
      </c>
      <c r="B514" s="318" t="s">
        <v>589</v>
      </c>
      <c r="C514" s="317" t="s">
        <v>335</v>
      </c>
      <c r="D514" s="365">
        <v>1</v>
      </c>
      <c r="E514" s="342"/>
      <c r="F514" s="342">
        <f t="shared" si="25"/>
        <v>1</v>
      </c>
      <c r="G514" s="336">
        <v>39429594.675962582</v>
      </c>
      <c r="H514" s="336">
        <f t="shared" si="23"/>
        <v>39429594.675962582</v>
      </c>
      <c r="I514" s="336"/>
      <c r="J514" s="336">
        <f t="shared" si="24"/>
        <v>39429594.675962582</v>
      </c>
    </row>
    <row r="515" spans="1:10">
      <c r="A515" s="305">
        <v>207</v>
      </c>
      <c r="B515" s="319" t="s">
        <v>590</v>
      </c>
      <c r="C515" s="320" t="s">
        <v>591</v>
      </c>
      <c r="D515" s="320">
        <v>1</v>
      </c>
      <c r="E515" s="342"/>
      <c r="F515" s="342">
        <f t="shared" si="25"/>
        <v>1</v>
      </c>
      <c r="G515" s="336">
        <v>2354762.4706340549</v>
      </c>
      <c r="H515" s="336">
        <f t="shared" si="23"/>
        <v>2354762.4706340549</v>
      </c>
      <c r="I515" s="336"/>
      <c r="J515" s="336">
        <f t="shared" si="24"/>
        <v>2354762.4706340549</v>
      </c>
    </row>
    <row r="516" spans="1:10">
      <c r="A516" s="354"/>
      <c r="B516" s="321" t="s">
        <v>592</v>
      </c>
      <c r="C516" s="352"/>
      <c r="D516" s="340"/>
      <c r="E516" s="342"/>
      <c r="F516" s="342">
        <f t="shared" si="25"/>
        <v>0</v>
      </c>
      <c r="G516" s="336"/>
      <c r="H516" s="336">
        <f t="shared" si="23"/>
        <v>0</v>
      </c>
      <c r="I516" s="336"/>
      <c r="J516" s="336">
        <f t="shared" si="24"/>
        <v>0</v>
      </c>
    </row>
    <row r="517" spans="1:10">
      <c r="A517" s="305">
        <v>208</v>
      </c>
      <c r="B517" s="367" t="s">
        <v>593</v>
      </c>
      <c r="C517" s="352"/>
      <c r="D517" s="340"/>
      <c r="E517" s="342"/>
      <c r="F517" s="342">
        <f t="shared" si="25"/>
        <v>0</v>
      </c>
      <c r="G517" s="336"/>
      <c r="H517" s="336">
        <f t="shared" si="23"/>
        <v>0</v>
      </c>
      <c r="I517" s="336"/>
      <c r="J517" s="336">
        <f t="shared" si="24"/>
        <v>0</v>
      </c>
    </row>
    <row r="518" spans="1:10">
      <c r="A518" s="305">
        <v>209</v>
      </c>
      <c r="B518" s="366" t="s">
        <v>585</v>
      </c>
      <c r="C518" s="317" t="s">
        <v>335</v>
      </c>
      <c r="D518" s="365">
        <v>1</v>
      </c>
      <c r="E518" s="342"/>
      <c r="F518" s="342">
        <f t="shared" si="25"/>
        <v>1</v>
      </c>
      <c r="G518" s="336">
        <v>17512641.58249826</v>
      </c>
      <c r="H518" s="336">
        <f t="shared" si="23"/>
        <v>17512641.58249826</v>
      </c>
      <c r="I518" s="336"/>
      <c r="J518" s="336">
        <f t="shared" si="24"/>
        <v>17512641.58249826</v>
      </c>
    </row>
    <row r="519" spans="1:10">
      <c r="A519" s="305">
        <v>210</v>
      </c>
      <c r="B519" s="366" t="s">
        <v>338</v>
      </c>
      <c r="C519" s="317" t="s">
        <v>335</v>
      </c>
      <c r="D519" s="365">
        <v>1</v>
      </c>
      <c r="E519" s="342"/>
      <c r="F519" s="342">
        <f t="shared" si="25"/>
        <v>1</v>
      </c>
      <c r="G519" s="336">
        <v>7955513.2089673672</v>
      </c>
      <c r="H519" s="336">
        <f t="shared" si="23"/>
        <v>7955513.2089673672</v>
      </c>
      <c r="I519" s="336"/>
      <c r="J519" s="336">
        <f t="shared" si="24"/>
        <v>7955513.2089673672</v>
      </c>
    </row>
    <row r="520" spans="1:10">
      <c r="A520" s="305">
        <v>211</v>
      </c>
      <c r="B520" s="366" t="s">
        <v>339</v>
      </c>
      <c r="C520" s="317" t="s">
        <v>335</v>
      </c>
      <c r="D520" s="365">
        <v>1</v>
      </c>
      <c r="E520" s="342"/>
      <c r="F520" s="342">
        <f t="shared" si="25"/>
        <v>1</v>
      </c>
      <c r="G520" s="336">
        <v>2529468.2648451915</v>
      </c>
      <c r="H520" s="336">
        <f t="shared" si="23"/>
        <v>2529468.2648451915</v>
      </c>
      <c r="I520" s="336"/>
      <c r="J520" s="336">
        <f t="shared" si="24"/>
        <v>2529468.2648451915</v>
      </c>
    </row>
    <row r="521" spans="1:10">
      <c r="A521" s="305">
        <v>212</v>
      </c>
      <c r="B521" s="366" t="s">
        <v>336</v>
      </c>
      <c r="C521" s="317" t="s">
        <v>335</v>
      </c>
      <c r="D521" s="365">
        <v>1</v>
      </c>
      <c r="E521" s="342"/>
      <c r="F521" s="342">
        <f t="shared" si="25"/>
        <v>1</v>
      </c>
      <c r="G521" s="336">
        <v>600187.10264758265</v>
      </c>
      <c r="H521" s="336">
        <f t="shared" si="23"/>
        <v>600187.10264758265</v>
      </c>
      <c r="I521" s="336"/>
      <c r="J521" s="336">
        <f t="shared" si="24"/>
        <v>600187.10264758265</v>
      </c>
    </row>
    <row r="522" spans="1:10">
      <c r="A522" s="305">
        <v>213</v>
      </c>
      <c r="B522" s="366" t="s">
        <v>340</v>
      </c>
      <c r="C522" s="317" t="s">
        <v>335</v>
      </c>
      <c r="D522" s="365">
        <v>1</v>
      </c>
      <c r="E522" s="342"/>
      <c r="F522" s="342">
        <f t="shared" si="25"/>
        <v>1</v>
      </c>
      <c r="G522" s="336">
        <v>175113.4134783535</v>
      </c>
      <c r="H522" s="336">
        <f t="shared" si="23"/>
        <v>175113.4134783535</v>
      </c>
      <c r="I522" s="336"/>
      <c r="J522" s="336">
        <f t="shared" si="24"/>
        <v>175113.4134783535</v>
      </c>
    </row>
    <row r="523" spans="1:10">
      <c r="A523" s="305">
        <v>214</v>
      </c>
      <c r="B523" s="366" t="s">
        <v>586</v>
      </c>
      <c r="C523" s="317" t="s">
        <v>335</v>
      </c>
      <c r="D523" s="365">
        <v>2</v>
      </c>
      <c r="E523" s="342"/>
      <c r="F523" s="342">
        <f t="shared" si="25"/>
        <v>2</v>
      </c>
      <c r="G523" s="336">
        <v>213818.82164059061</v>
      </c>
      <c r="H523" s="336">
        <f t="shared" si="23"/>
        <v>427637.64328118123</v>
      </c>
      <c r="I523" s="336"/>
      <c r="J523" s="336">
        <f t="shared" si="24"/>
        <v>427637.64328118123</v>
      </c>
    </row>
    <row r="524" spans="1:10">
      <c r="A524" s="305">
        <v>215</v>
      </c>
      <c r="B524" s="366" t="s">
        <v>587</v>
      </c>
      <c r="C524" s="317" t="s">
        <v>335</v>
      </c>
      <c r="D524" s="365">
        <v>1</v>
      </c>
      <c r="E524" s="342"/>
      <c r="F524" s="342">
        <f t="shared" si="25"/>
        <v>1</v>
      </c>
      <c r="G524" s="336">
        <v>422269.57619002345</v>
      </c>
      <c r="H524" s="336">
        <f t="shared" si="23"/>
        <v>422269.57619002345</v>
      </c>
      <c r="I524" s="336"/>
      <c r="J524" s="336">
        <f t="shared" si="24"/>
        <v>422269.57619002345</v>
      </c>
    </row>
    <row r="525" spans="1:10">
      <c r="A525" s="305">
        <v>216</v>
      </c>
      <c r="B525" s="366" t="s">
        <v>588</v>
      </c>
      <c r="C525" s="317" t="s">
        <v>335</v>
      </c>
      <c r="D525" s="365">
        <v>1</v>
      </c>
      <c r="E525" s="342"/>
      <c r="F525" s="342">
        <f t="shared" si="25"/>
        <v>1</v>
      </c>
      <c r="G525" s="336">
        <v>4728144.7400565194</v>
      </c>
      <c r="H525" s="336">
        <f t="shared" si="23"/>
        <v>4728144.7400565194</v>
      </c>
      <c r="I525" s="336"/>
      <c r="J525" s="336">
        <f t="shared" si="24"/>
        <v>4728144.7400565194</v>
      </c>
    </row>
    <row r="526" spans="1:10">
      <c r="A526" s="305">
        <v>217</v>
      </c>
      <c r="B526" s="366" t="s">
        <v>589</v>
      </c>
      <c r="C526" s="317" t="s">
        <v>335</v>
      </c>
      <c r="D526" s="365">
        <v>1</v>
      </c>
      <c r="E526" s="342"/>
      <c r="F526" s="342">
        <f t="shared" si="25"/>
        <v>1</v>
      </c>
      <c r="G526" s="336">
        <v>3608292.4694342008</v>
      </c>
      <c r="H526" s="336">
        <f t="shared" si="23"/>
        <v>3608292.4694342008</v>
      </c>
      <c r="I526" s="336"/>
      <c r="J526" s="336">
        <f t="shared" si="24"/>
        <v>3608292.4694342008</v>
      </c>
    </row>
    <row r="527" spans="1:10" ht="28.5" customHeight="1">
      <c r="A527" s="303"/>
      <c r="B527" s="304" t="s">
        <v>730</v>
      </c>
      <c r="C527" s="352"/>
      <c r="D527" s="340"/>
      <c r="E527" s="342">
        <f>D527*$E$7</f>
        <v>0</v>
      </c>
      <c r="F527" s="342">
        <f>D527*$F$7</f>
        <v>0</v>
      </c>
      <c r="G527" s="336"/>
      <c r="H527" s="338">
        <f>SUM(H529:H732)</f>
        <v>3011166762.6378832</v>
      </c>
      <c r="I527" s="338">
        <f>SUM(I529:I732)</f>
        <v>3011166762.6378832</v>
      </c>
      <c r="J527" s="336">
        <f t="shared" si="24"/>
        <v>0</v>
      </c>
    </row>
    <row r="528" spans="1:10">
      <c r="A528" s="303"/>
      <c r="B528" s="312" t="s">
        <v>496</v>
      </c>
      <c r="C528" s="352"/>
      <c r="D528" s="340"/>
      <c r="E528" s="342">
        <f>D528*$E$7</f>
        <v>0</v>
      </c>
      <c r="F528" s="342">
        <f>D528*$F$7</f>
        <v>0</v>
      </c>
      <c r="G528" s="336"/>
      <c r="H528" s="336">
        <f t="shared" ref="H528:H591" si="26">D528*G528</f>
        <v>0</v>
      </c>
      <c r="I528" s="336">
        <f t="shared" ref="I528:I591" si="27">E528*G528</f>
        <v>0</v>
      </c>
      <c r="J528" s="336"/>
    </row>
    <row r="529" spans="1:10">
      <c r="A529" s="305">
        <v>1</v>
      </c>
      <c r="B529" s="307" t="s">
        <v>342</v>
      </c>
      <c r="C529" s="352" t="s">
        <v>319</v>
      </c>
      <c r="D529" s="355">
        <v>10.8</v>
      </c>
      <c r="E529" s="342">
        <f t="shared" ref="E529:E592" si="28">D529</f>
        <v>10.8</v>
      </c>
      <c r="F529" s="342"/>
      <c r="G529" s="336">
        <v>209980.13194288901</v>
      </c>
      <c r="H529" s="336">
        <f t="shared" si="26"/>
        <v>2267785.4249832015</v>
      </c>
      <c r="I529" s="336">
        <f t="shared" si="27"/>
        <v>2267785.4249832015</v>
      </c>
      <c r="J529" s="336"/>
    </row>
    <row r="530" spans="1:10">
      <c r="A530" s="305">
        <v>2</v>
      </c>
      <c r="B530" s="307" t="s">
        <v>343</v>
      </c>
      <c r="C530" s="352" t="s">
        <v>498</v>
      </c>
      <c r="D530" s="355">
        <v>43</v>
      </c>
      <c r="E530" s="342">
        <f t="shared" si="28"/>
        <v>43</v>
      </c>
      <c r="F530" s="342"/>
      <c r="G530" s="336">
        <v>50385.868009201993</v>
      </c>
      <c r="H530" s="336">
        <f t="shared" si="26"/>
        <v>2166592.3243956859</v>
      </c>
      <c r="I530" s="336">
        <f t="shared" si="27"/>
        <v>2166592.3243956859</v>
      </c>
      <c r="J530" s="336"/>
    </row>
    <row r="531" spans="1:10">
      <c r="A531" s="305">
        <v>3</v>
      </c>
      <c r="B531" s="307" t="s">
        <v>344</v>
      </c>
      <c r="C531" s="352" t="s">
        <v>498</v>
      </c>
      <c r="D531" s="355">
        <v>14</v>
      </c>
      <c r="E531" s="342">
        <f t="shared" si="28"/>
        <v>14</v>
      </c>
      <c r="F531" s="342"/>
      <c r="G531" s="336">
        <v>77678.324710899004</v>
      </c>
      <c r="H531" s="336">
        <f t="shared" si="26"/>
        <v>1087496.545952586</v>
      </c>
      <c r="I531" s="336">
        <f t="shared" si="27"/>
        <v>1087496.545952586</v>
      </c>
      <c r="J531" s="336"/>
    </row>
    <row r="532" spans="1:10">
      <c r="A532" s="305">
        <v>4</v>
      </c>
      <c r="B532" s="307" t="s">
        <v>345</v>
      </c>
      <c r="C532" s="352" t="s">
        <v>70</v>
      </c>
      <c r="D532" s="355">
        <v>0.78</v>
      </c>
      <c r="E532" s="342">
        <f t="shared" si="28"/>
        <v>0.78</v>
      </c>
      <c r="F532" s="342"/>
      <c r="G532" s="336">
        <v>216467.65221015</v>
      </c>
      <c r="H532" s="336">
        <f t="shared" si="26"/>
        <v>168844.76872391702</v>
      </c>
      <c r="I532" s="336">
        <f t="shared" si="27"/>
        <v>168844.76872391702</v>
      </c>
      <c r="J532" s="336"/>
    </row>
    <row r="533" spans="1:10">
      <c r="A533" s="305">
        <v>5</v>
      </c>
      <c r="B533" s="307" t="s">
        <v>348</v>
      </c>
      <c r="C533" s="352" t="s">
        <v>322</v>
      </c>
      <c r="D533" s="355">
        <v>0.17899999999999999</v>
      </c>
      <c r="E533" s="342">
        <f t="shared" si="28"/>
        <v>0.17899999999999999</v>
      </c>
      <c r="F533" s="342"/>
      <c r="G533" s="336">
        <v>81099718.991999239</v>
      </c>
      <c r="H533" s="336">
        <f t="shared" si="26"/>
        <v>14516849.699567864</v>
      </c>
      <c r="I533" s="336">
        <f t="shared" si="27"/>
        <v>14516849.699567864</v>
      </c>
      <c r="J533" s="336"/>
    </row>
    <row r="534" spans="1:10">
      <c r="A534" s="305">
        <v>6</v>
      </c>
      <c r="B534" s="307" t="s">
        <v>345</v>
      </c>
      <c r="C534" s="352" t="s">
        <v>70</v>
      </c>
      <c r="D534" s="355">
        <v>0.17899999999999999</v>
      </c>
      <c r="E534" s="342">
        <f t="shared" si="28"/>
        <v>0.17899999999999999</v>
      </c>
      <c r="F534" s="342"/>
      <c r="G534" s="336">
        <v>216467.65221015</v>
      </c>
      <c r="H534" s="336">
        <f t="shared" si="26"/>
        <v>38747.709745616849</v>
      </c>
      <c r="I534" s="336">
        <f t="shared" si="27"/>
        <v>38747.709745616849</v>
      </c>
      <c r="J534" s="336"/>
    </row>
    <row r="535" spans="1:10">
      <c r="A535" s="305"/>
      <c r="B535" s="308" t="s">
        <v>499</v>
      </c>
      <c r="C535" s="352"/>
      <c r="D535" s="355">
        <v>0</v>
      </c>
      <c r="E535" s="342">
        <f t="shared" si="28"/>
        <v>0</v>
      </c>
      <c r="F535" s="342"/>
      <c r="G535" s="336">
        <v>0</v>
      </c>
      <c r="H535" s="336">
        <f t="shared" si="26"/>
        <v>0</v>
      </c>
      <c r="I535" s="336">
        <f t="shared" si="27"/>
        <v>0</v>
      </c>
      <c r="J535" s="336"/>
    </row>
    <row r="536" spans="1:10" ht="33">
      <c r="A536" s="305">
        <v>7</v>
      </c>
      <c r="B536" s="309" t="s">
        <v>500</v>
      </c>
      <c r="C536" s="352" t="s">
        <v>321</v>
      </c>
      <c r="D536" s="355">
        <v>1.0069999999999999</v>
      </c>
      <c r="E536" s="342">
        <f t="shared" si="28"/>
        <v>1.0069999999999999</v>
      </c>
      <c r="F536" s="342"/>
      <c r="G536" s="336">
        <v>869256.05268892506</v>
      </c>
      <c r="H536" s="336">
        <f t="shared" si="26"/>
        <v>875340.84505774744</v>
      </c>
      <c r="I536" s="336">
        <f t="shared" si="27"/>
        <v>875340.84505774744</v>
      </c>
      <c r="J536" s="336"/>
    </row>
    <row r="537" spans="1:10">
      <c r="A537" s="305">
        <v>8</v>
      </c>
      <c r="B537" s="309" t="s">
        <v>501</v>
      </c>
      <c r="C537" s="352" t="s">
        <v>106</v>
      </c>
      <c r="D537" s="355">
        <v>0.45</v>
      </c>
      <c r="E537" s="342">
        <f t="shared" si="28"/>
        <v>0.45</v>
      </c>
      <c r="F537" s="342"/>
      <c r="G537" s="336">
        <v>265539806.91625923</v>
      </c>
      <c r="H537" s="336">
        <f t="shared" si="26"/>
        <v>119492913.11231665</v>
      </c>
      <c r="I537" s="336">
        <f t="shared" si="27"/>
        <v>119492913.11231665</v>
      </c>
      <c r="J537" s="336"/>
    </row>
    <row r="538" spans="1:10">
      <c r="A538" s="305">
        <v>9</v>
      </c>
      <c r="B538" s="309" t="s">
        <v>352</v>
      </c>
      <c r="C538" s="352" t="s">
        <v>324</v>
      </c>
      <c r="D538" s="355">
        <v>4.05</v>
      </c>
      <c r="E538" s="342">
        <f t="shared" si="28"/>
        <v>4.05</v>
      </c>
      <c r="F538" s="342"/>
      <c r="G538" s="336">
        <v>1528207.3601667725</v>
      </c>
      <c r="H538" s="336">
        <f t="shared" si="26"/>
        <v>6189239.8086754279</v>
      </c>
      <c r="I538" s="336">
        <f t="shared" si="27"/>
        <v>6189239.8086754279</v>
      </c>
      <c r="J538" s="336"/>
    </row>
    <row r="539" spans="1:10" ht="33">
      <c r="A539" s="305">
        <v>10</v>
      </c>
      <c r="B539" s="309" t="s">
        <v>356</v>
      </c>
      <c r="C539" s="352" t="s">
        <v>324</v>
      </c>
      <c r="D539" s="355">
        <v>4.05</v>
      </c>
      <c r="E539" s="342">
        <f t="shared" si="28"/>
        <v>4.05</v>
      </c>
      <c r="F539" s="342"/>
      <c r="G539" s="336">
        <v>325357.39665435604</v>
      </c>
      <c r="H539" s="336">
        <f t="shared" si="26"/>
        <v>1317697.456450142</v>
      </c>
      <c r="I539" s="336">
        <f t="shared" si="27"/>
        <v>1317697.456450142</v>
      </c>
      <c r="J539" s="336"/>
    </row>
    <row r="540" spans="1:10">
      <c r="A540" s="305">
        <v>11</v>
      </c>
      <c r="B540" s="309" t="s">
        <v>501</v>
      </c>
      <c r="C540" s="352" t="s">
        <v>106</v>
      </c>
      <c r="D540" s="355">
        <v>0.45</v>
      </c>
      <c r="E540" s="342">
        <f t="shared" si="28"/>
        <v>0.45</v>
      </c>
      <c r="F540" s="342"/>
      <c r="G540" s="336">
        <v>4541731.8832607036</v>
      </c>
      <c r="H540" s="336">
        <f t="shared" si="26"/>
        <v>2043779.3474673168</v>
      </c>
      <c r="I540" s="336">
        <f t="shared" si="27"/>
        <v>2043779.3474673168</v>
      </c>
      <c r="J540" s="336"/>
    </row>
    <row r="541" spans="1:10">
      <c r="A541" s="303"/>
      <c r="B541" s="312" t="s">
        <v>595</v>
      </c>
      <c r="C541" s="352"/>
      <c r="D541" s="355">
        <v>0</v>
      </c>
      <c r="E541" s="342">
        <f t="shared" si="28"/>
        <v>0</v>
      </c>
      <c r="F541" s="342"/>
      <c r="G541" s="336">
        <v>0</v>
      </c>
      <c r="H541" s="336">
        <f t="shared" si="26"/>
        <v>0</v>
      </c>
      <c r="I541" s="336">
        <f t="shared" si="27"/>
        <v>0</v>
      </c>
      <c r="J541" s="336"/>
    </row>
    <row r="542" spans="1:10">
      <c r="A542" s="303">
        <v>12</v>
      </c>
      <c r="B542" s="309" t="s">
        <v>506</v>
      </c>
      <c r="C542" s="352" t="s">
        <v>507</v>
      </c>
      <c r="D542" s="355">
        <v>9</v>
      </c>
      <c r="E542" s="342">
        <f t="shared" si="28"/>
        <v>9</v>
      </c>
      <c r="F542" s="342"/>
      <c r="G542" s="336">
        <v>540104.64721076598</v>
      </c>
      <c r="H542" s="336">
        <f t="shared" si="26"/>
        <v>4860941.8248968935</v>
      </c>
      <c r="I542" s="336">
        <f t="shared" si="27"/>
        <v>4860941.8248968935</v>
      </c>
      <c r="J542" s="336"/>
    </row>
    <row r="543" spans="1:10">
      <c r="A543" s="303">
        <v>13</v>
      </c>
      <c r="B543" s="309" t="s">
        <v>508</v>
      </c>
      <c r="C543" s="352" t="s">
        <v>509</v>
      </c>
      <c r="D543" s="355">
        <v>2</v>
      </c>
      <c r="E543" s="342">
        <f t="shared" si="28"/>
        <v>2</v>
      </c>
      <c r="F543" s="342"/>
      <c r="G543" s="336">
        <v>592767.30985550093</v>
      </c>
      <c r="H543" s="336">
        <f t="shared" si="26"/>
        <v>1185534.6197110019</v>
      </c>
      <c r="I543" s="336">
        <f t="shared" si="27"/>
        <v>1185534.6197110019</v>
      </c>
      <c r="J543" s="336"/>
    </row>
    <row r="544" spans="1:10">
      <c r="A544" s="303">
        <v>14</v>
      </c>
      <c r="B544" s="309" t="s">
        <v>510</v>
      </c>
      <c r="C544" s="352" t="s">
        <v>504</v>
      </c>
      <c r="D544" s="355">
        <v>0.89200000000000002</v>
      </c>
      <c r="E544" s="342">
        <f t="shared" si="28"/>
        <v>0.89200000000000002</v>
      </c>
      <c r="F544" s="342"/>
      <c r="G544" s="336">
        <v>1490972.5879391199</v>
      </c>
      <c r="H544" s="336">
        <f t="shared" si="26"/>
        <v>1329947.548441695</v>
      </c>
      <c r="I544" s="336">
        <f t="shared" si="27"/>
        <v>1329947.548441695</v>
      </c>
      <c r="J544" s="336"/>
    </row>
    <row r="545" spans="1:10">
      <c r="A545" s="303">
        <v>15</v>
      </c>
      <c r="B545" s="309" t="s">
        <v>358</v>
      </c>
      <c r="C545" s="352" t="s">
        <v>323</v>
      </c>
      <c r="D545" s="355">
        <v>20.5</v>
      </c>
      <c r="E545" s="342">
        <f t="shared" si="28"/>
        <v>20.5</v>
      </c>
      <c r="F545" s="342"/>
      <c r="G545" s="336">
        <v>544091.62329219503</v>
      </c>
      <c r="H545" s="336">
        <f t="shared" si="26"/>
        <v>11153878.277489997</v>
      </c>
      <c r="I545" s="336">
        <f t="shared" si="27"/>
        <v>11153878.277489997</v>
      </c>
      <c r="J545" s="336"/>
    </row>
    <row r="546" spans="1:10">
      <c r="A546" s="310"/>
      <c r="B546" s="304" t="s">
        <v>511</v>
      </c>
      <c r="C546" s="352"/>
      <c r="D546" s="355">
        <v>0</v>
      </c>
      <c r="E546" s="342">
        <f t="shared" si="28"/>
        <v>0</v>
      </c>
      <c r="F546" s="342"/>
      <c r="G546" s="336">
        <v>0</v>
      </c>
      <c r="H546" s="336">
        <f t="shared" si="26"/>
        <v>0</v>
      </c>
      <c r="I546" s="336">
        <f t="shared" si="27"/>
        <v>0</v>
      </c>
      <c r="J546" s="336"/>
    </row>
    <row r="547" spans="1:10">
      <c r="A547" s="305"/>
      <c r="B547" s="308" t="s">
        <v>512</v>
      </c>
      <c r="C547" s="352"/>
      <c r="D547" s="355">
        <v>0</v>
      </c>
      <c r="E547" s="342">
        <f t="shared" si="28"/>
        <v>0</v>
      </c>
      <c r="F547" s="342"/>
      <c r="G547" s="336">
        <v>0</v>
      </c>
      <c r="H547" s="336">
        <f t="shared" si="26"/>
        <v>0</v>
      </c>
      <c r="I547" s="336">
        <f t="shared" si="27"/>
        <v>0</v>
      </c>
      <c r="J547" s="336"/>
    </row>
    <row r="548" spans="1:10">
      <c r="A548" s="305">
        <v>16</v>
      </c>
      <c r="B548" s="309" t="s">
        <v>713</v>
      </c>
      <c r="C548" s="352" t="s">
        <v>323</v>
      </c>
      <c r="D548" s="355">
        <v>56.09</v>
      </c>
      <c r="E548" s="342">
        <f t="shared" si="28"/>
        <v>56.09</v>
      </c>
      <c r="F548" s="342"/>
      <c r="G548" s="336">
        <v>499374.96253281418</v>
      </c>
      <c r="H548" s="336">
        <f t="shared" si="26"/>
        <v>28009941.648465548</v>
      </c>
      <c r="I548" s="336">
        <f t="shared" si="27"/>
        <v>28009941.648465548</v>
      </c>
      <c r="J548" s="336"/>
    </row>
    <row r="549" spans="1:10">
      <c r="A549" s="303">
        <v>17</v>
      </c>
      <c r="B549" s="309" t="s">
        <v>353</v>
      </c>
      <c r="C549" s="352" t="s">
        <v>325</v>
      </c>
      <c r="D549" s="355">
        <v>0.52800000000000002</v>
      </c>
      <c r="E549" s="342">
        <f t="shared" si="28"/>
        <v>0.52800000000000002</v>
      </c>
      <c r="F549" s="342"/>
      <c r="G549" s="336">
        <v>636406.25898883003</v>
      </c>
      <c r="H549" s="336">
        <f t="shared" si="26"/>
        <v>336022.50474610226</v>
      </c>
      <c r="I549" s="336">
        <f t="shared" si="27"/>
        <v>336022.50474610226</v>
      </c>
      <c r="J549" s="336"/>
    </row>
    <row r="550" spans="1:10">
      <c r="A550" s="310"/>
      <c r="B550" s="308" t="s">
        <v>518</v>
      </c>
      <c r="C550" s="373"/>
      <c r="D550" s="355">
        <v>0</v>
      </c>
      <c r="E550" s="342">
        <f t="shared" si="28"/>
        <v>0</v>
      </c>
      <c r="F550" s="342"/>
      <c r="G550" s="336">
        <v>0</v>
      </c>
      <c r="H550" s="336">
        <f t="shared" si="26"/>
        <v>0</v>
      </c>
      <c r="I550" s="336">
        <f t="shared" si="27"/>
        <v>0</v>
      </c>
      <c r="J550" s="336"/>
    </row>
    <row r="551" spans="1:10" ht="33">
      <c r="A551" s="303">
        <v>18</v>
      </c>
      <c r="B551" s="307" t="s">
        <v>362</v>
      </c>
      <c r="C551" s="352" t="s">
        <v>324</v>
      </c>
      <c r="D551" s="355">
        <v>3.38</v>
      </c>
      <c r="E551" s="342">
        <f t="shared" si="28"/>
        <v>3.38</v>
      </c>
      <c r="F551" s="342"/>
      <c r="G551" s="336">
        <v>36335388.097262233</v>
      </c>
      <c r="H551" s="336">
        <f t="shared" si="26"/>
        <v>122813611.76874635</v>
      </c>
      <c r="I551" s="336">
        <f t="shared" si="27"/>
        <v>122813611.76874635</v>
      </c>
      <c r="J551" s="336"/>
    </row>
    <row r="552" spans="1:10" ht="33">
      <c r="A552" s="303">
        <v>19</v>
      </c>
      <c r="B552" s="307" t="s">
        <v>363</v>
      </c>
      <c r="C552" s="352" t="s">
        <v>324</v>
      </c>
      <c r="D552" s="355">
        <v>0.94</v>
      </c>
      <c r="E552" s="342">
        <f t="shared" si="28"/>
        <v>0.94</v>
      </c>
      <c r="F552" s="342"/>
      <c r="G552" s="336">
        <v>27251541.194615819</v>
      </c>
      <c r="H552" s="336">
        <f t="shared" si="26"/>
        <v>25616448.722938869</v>
      </c>
      <c r="I552" s="336">
        <f t="shared" si="27"/>
        <v>25616448.722938869</v>
      </c>
      <c r="J552" s="336"/>
    </row>
    <row r="553" spans="1:10">
      <c r="A553" s="303">
        <v>20</v>
      </c>
      <c r="B553" s="307" t="s">
        <v>513</v>
      </c>
      <c r="C553" s="352" t="s">
        <v>504</v>
      </c>
      <c r="D553" s="355">
        <v>19.786000000000001</v>
      </c>
      <c r="E553" s="342">
        <f t="shared" si="28"/>
        <v>19.786000000000001</v>
      </c>
      <c r="F553" s="342"/>
      <c r="G553" s="336">
        <v>1414136.3361682652</v>
      </c>
      <c r="H553" s="336">
        <f t="shared" si="26"/>
        <v>27980101.547425296</v>
      </c>
      <c r="I553" s="336">
        <f t="shared" si="27"/>
        <v>27980101.547425296</v>
      </c>
      <c r="J553" s="336"/>
    </row>
    <row r="554" spans="1:10">
      <c r="A554" s="303">
        <v>21</v>
      </c>
      <c r="B554" s="307" t="s">
        <v>380</v>
      </c>
      <c r="C554" s="352" t="s">
        <v>504</v>
      </c>
      <c r="D554" s="355">
        <v>1.3320000000000001</v>
      </c>
      <c r="E554" s="342">
        <f t="shared" si="28"/>
        <v>1.3320000000000001</v>
      </c>
      <c r="F554" s="342"/>
      <c r="G554" s="336">
        <v>9410025.444333382</v>
      </c>
      <c r="H554" s="336">
        <f t="shared" si="26"/>
        <v>12534153.891852066</v>
      </c>
      <c r="I554" s="336">
        <f t="shared" si="27"/>
        <v>12534153.891852066</v>
      </c>
      <c r="J554" s="336"/>
    </row>
    <row r="555" spans="1:10" ht="33">
      <c r="A555" s="303">
        <v>22</v>
      </c>
      <c r="B555" s="307" t="s">
        <v>514</v>
      </c>
      <c r="C555" s="352" t="s">
        <v>504</v>
      </c>
      <c r="D555" s="355">
        <v>1.175</v>
      </c>
      <c r="E555" s="342">
        <f t="shared" si="28"/>
        <v>1.175</v>
      </c>
      <c r="F555" s="342"/>
      <c r="G555" s="336">
        <v>1414136.3361682652</v>
      </c>
      <c r="H555" s="336">
        <f t="shared" si="26"/>
        <v>1661610.1949977116</v>
      </c>
      <c r="I555" s="336">
        <f t="shared" si="27"/>
        <v>1661610.1949977116</v>
      </c>
      <c r="J555" s="336"/>
    </row>
    <row r="556" spans="1:10">
      <c r="A556" s="303">
        <v>23</v>
      </c>
      <c r="B556" s="309" t="s">
        <v>515</v>
      </c>
      <c r="C556" s="352" t="s">
        <v>504</v>
      </c>
      <c r="D556" s="355">
        <v>0.157</v>
      </c>
      <c r="E556" s="342">
        <f t="shared" si="28"/>
        <v>0.157</v>
      </c>
      <c r="F556" s="342"/>
      <c r="G556" s="336">
        <v>19601430.430915311</v>
      </c>
      <c r="H556" s="336">
        <f t="shared" si="26"/>
        <v>3077424.5776537037</v>
      </c>
      <c r="I556" s="336">
        <f t="shared" si="27"/>
        <v>3077424.5776537037</v>
      </c>
      <c r="J556" s="336"/>
    </row>
    <row r="557" spans="1:10">
      <c r="A557" s="303">
        <v>24</v>
      </c>
      <c r="B557" s="307" t="s">
        <v>364</v>
      </c>
      <c r="C557" s="352" t="s">
        <v>504</v>
      </c>
      <c r="D557" s="355">
        <v>1.3320000000000001</v>
      </c>
      <c r="E557" s="342">
        <f t="shared" si="28"/>
        <v>1.3320000000000001</v>
      </c>
      <c r="F557" s="342"/>
      <c r="G557" s="336">
        <v>6080313.1193965599</v>
      </c>
      <c r="H557" s="336">
        <f t="shared" si="26"/>
        <v>8098977.0750362184</v>
      </c>
      <c r="I557" s="336">
        <f t="shared" si="27"/>
        <v>8098977.0750362184</v>
      </c>
      <c r="J557" s="336"/>
    </row>
    <row r="558" spans="1:10">
      <c r="A558" s="303">
        <v>25</v>
      </c>
      <c r="B558" s="307" t="s">
        <v>365</v>
      </c>
      <c r="C558" s="352" t="s">
        <v>504</v>
      </c>
      <c r="D558" s="355">
        <v>1.3320000000000001</v>
      </c>
      <c r="E558" s="342">
        <f t="shared" si="28"/>
        <v>1.3320000000000001</v>
      </c>
      <c r="F558" s="342"/>
      <c r="G558" s="336">
        <v>3640153.3282428598</v>
      </c>
      <c r="H558" s="336">
        <f t="shared" si="26"/>
        <v>4848684.2332194895</v>
      </c>
      <c r="I558" s="336">
        <f t="shared" si="27"/>
        <v>4848684.2332194895</v>
      </c>
      <c r="J558" s="336"/>
    </row>
    <row r="559" spans="1:10" ht="33">
      <c r="A559" s="303">
        <v>26</v>
      </c>
      <c r="B559" s="309" t="s">
        <v>351</v>
      </c>
      <c r="C559" s="352" t="s">
        <v>324</v>
      </c>
      <c r="D559" s="355">
        <v>17.22</v>
      </c>
      <c r="E559" s="342">
        <f t="shared" si="28"/>
        <v>17.22</v>
      </c>
      <c r="F559" s="342"/>
      <c r="G559" s="336">
        <v>5280236.9235888254</v>
      </c>
      <c r="H559" s="336">
        <f t="shared" si="26"/>
        <v>90925679.824199572</v>
      </c>
      <c r="I559" s="336">
        <f t="shared" si="27"/>
        <v>90925679.824199572</v>
      </c>
      <c r="J559" s="336"/>
    </row>
    <row r="560" spans="1:10">
      <c r="A560" s="303">
        <v>27</v>
      </c>
      <c r="B560" s="307" t="s">
        <v>348</v>
      </c>
      <c r="C560" s="352" t="s">
        <v>322</v>
      </c>
      <c r="D560" s="355">
        <v>0.17499999999999999</v>
      </c>
      <c r="E560" s="342">
        <f t="shared" si="28"/>
        <v>0.17499999999999999</v>
      </c>
      <c r="F560" s="342"/>
      <c r="G560" s="336">
        <v>81099718.991999239</v>
      </c>
      <c r="H560" s="336">
        <f t="shared" si="26"/>
        <v>14192450.823599866</v>
      </c>
      <c r="I560" s="336">
        <f t="shared" si="27"/>
        <v>14192450.823599866</v>
      </c>
      <c r="J560" s="336"/>
    </row>
    <row r="561" spans="1:10">
      <c r="A561" s="303">
        <v>28</v>
      </c>
      <c r="B561" s="309" t="s">
        <v>354</v>
      </c>
      <c r="C561" s="352" t="s">
        <v>320</v>
      </c>
      <c r="D561" s="355">
        <v>2.0169999999999999</v>
      </c>
      <c r="E561" s="342">
        <f t="shared" si="28"/>
        <v>2.0169999999999999</v>
      </c>
      <c r="F561" s="342"/>
      <c r="G561" s="336">
        <v>19155571.308668852</v>
      </c>
      <c r="H561" s="336">
        <f t="shared" si="26"/>
        <v>38636787.329585075</v>
      </c>
      <c r="I561" s="336">
        <f t="shared" si="27"/>
        <v>38636787.329585075</v>
      </c>
      <c r="J561" s="336"/>
    </row>
    <row r="562" spans="1:10">
      <c r="A562" s="303">
        <v>29</v>
      </c>
      <c r="B562" s="309" t="s">
        <v>349</v>
      </c>
      <c r="C562" s="352" t="s">
        <v>323</v>
      </c>
      <c r="D562" s="355">
        <v>180.04</v>
      </c>
      <c r="E562" s="342">
        <f t="shared" si="28"/>
        <v>180.04</v>
      </c>
      <c r="F562" s="342"/>
      <c r="G562" s="336">
        <v>499374.96253281418</v>
      </c>
      <c r="H562" s="336">
        <f t="shared" si="26"/>
        <v>89907468.254407868</v>
      </c>
      <c r="I562" s="336">
        <f t="shared" si="27"/>
        <v>89907468.254407868</v>
      </c>
      <c r="J562" s="336"/>
    </row>
    <row r="563" spans="1:10">
      <c r="A563" s="303">
        <v>30</v>
      </c>
      <c r="B563" s="309" t="s">
        <v>353</v>
      </c>
      <c r="C563" s="352" t="s">
        <v>325</v>
      </c>
      <c r="D563" s="355">
        <v>2.056</v>
      </c>
      <c r="E563" s="342">
        <f t="shared" si="28"/>
        <v>2.056</v>
      </c>
      <c r="F563" s="342"/>
      <c r="G563" s="336">
        <v>636406.25898883003</v>
      </c>
      <c r="H563" s="336">
        <f t="shared" si="26"/>
        <v>1308451.2684810346</v>
      </c>
      <c r="I563" s="336">
        <f t="shared" si="27"/>
        <v>1308451.2684810346</v>
      </c>
      <c r="J563" s="336"/>
    </row>
    <row r="564" spans="1:10">
      <c r="A564" s="303">
        <v>31</v>
      </c>
      <c r="B564" s="309" t="s">
        <v>396</v>
      </c>
      <c r="C564" s="352" t="s">
        <v>325</v>
      </c>
      <c r="D564" s="355">
        <v>1.4750000000000001</v>
      </c>
      <c r="E564" s="342">
        <f t="shared" si="28"/>
        <v>1.4750000000000001</v>
      </c>
      <c r="F564" s="342"/>
      <c r="G564" s="336">
        <v>2389507.7110639899</v>
      </c>
      <c r="H564" s="336">
        <f t="shared" si="26"/>
        <v>3524523.8738193852</v>
      </c>
      <c r="I564" s="336">
        <f t="shared" si="27"/>
        <v>3524523.8738193852</v>
      </c>
      <c r="J564" s="336"/>
    </row>
    <row r="565" spans="1:10">
      <c r="A565" s="303">
        <v>32</v>
      </c>
      <c r="B565" s="307" t="s">
        <v>366</v>
      </c>
      <c r="C565" s="352" t="s">
        <v>324</v>
      </c>
      <c r="D565" s="355">
        <v>3.38</v>
      </c>
      <c r="E565" s="342">
        <f t="shared" si="28"/>
        <v>3.38</v>
      </c>
      <c r="F565" s="342"/>
      <c r="G565" s="336">
        <v>10347238.214029023</v>
      </c>
      <c r="H565" s="336">
        <f t="shared" si="26"/>
        <v>34973665.163418099</v>
      </c>
      <c r="I565" s="336">
        <f t="shared" si="27"/>
        <v>34973665.163418099</v>
      </c>
      <c r="J565" s="336"/>
    </row>
    <row r="566" spans="1:10" ht="33">
      <c r="A566" s="303">
        <v>33</v>
      </c>
      <c r="B566" s="309" t="s">
        <v>355</v>
      </c>
      <c r="C566" s="352" t="s">
        <v>324</v>
      </c>
      <c r="D566" s="355">
        <v>17.22</v>
      </c>
      <c r="E566" s="342">
        <f t="shared" si="28"/>
        <v>17.22</v>
      </c>
      <c r="F566" s="342"/>
      <c r="G566" s="336">
        <v>1146906.249142335</v>
      </c>
      <c r="H566" s="336">
        <f t="shared" si="26"/>
        <v>19749725.610231008</v>
      </c>
      <c r="I566" s="336">
        <f t="shared" si="27"/>
        <v>19749725.610231008</v>
      </c>
      <c r="J566" s="336"/>
    </row>
    <row r="567" spans="1:10">
      <c r="A567" s="303">
        <v>34</v>
      </c>
      <c r="B567" s="309" t="s">
        <v>517</v>
      </c>
      <c r="C567" s="352" t="s">
        <v>321</v>
      </c>
      <c r="D567" s="355">
        <v>3.1890000000000001</v>
      </c>
      <c r="E567" s="342">
        <f t="shared" si="28"/>
        <v>3.1890000000000001</v>
      </c>
      <c r="F567" s="342"/>
      <c r="G567" s="336">
        <v>869256.05268892506</v>
      </c>
      <c r="H567" s="336">
        <f t="shared" si="26"/>
        <v>2772057.5520249819</v>
      </c>
      <c r="I567" s="336">
        <f t="shared" si="27"/>
        <v>2772057.5520249819</v>
      </c>
      <c r="J567" s="336"/>
    </row>
    <row r="568" spans="1:10">
      <c r="A568" s="303">
        <v>35</v>
      </c>
      <c r="B568" s="309" t="s">
        <v>438</v>
      </c>
      <c r="C568" s="352" t="s">
        <v>509</v>
      </c>
      <c r="D568" s="355">
        <v>37</v>
      </c>
      <c r="E568" s="342">
        <f t="shared" si="28"/>
        <v>37</v>
      </c>
      <c r="F568" s="342"/>
      <c r="G568" s="336">
        <v>96127.503237292985</v>
      </c>
      <c r="H568" s="336">
        <f t="shared" si="26"/>
        <v>3556717.6197798406</v>
      </c>
      <c r="I568" s="336">
        <f t="shared" si="27"/>
        <v>3556717.6197798406</v>
      </c>
      <c r="J568" s="336"/>
    </row>
    <row r="569" spans="1:10">
      <c r="A569" s="303">
        <v>36</v>
      </c>
      <c r="B569" s="307" t="s">
        <v>516</v>
      </c>
      <c r="C569" s="352" t="s">
        <v>328</v>
      </c>
      <c r="D569" s="355">
        <v>1</v>
      </c>
      <c r="E569" s="342">
        <f t="shared" si="28"/>
        <v>1</v>
      </c>
      <c r="F569" s="342"/>
      <c r="G569" s="336">
        <v>1913905.107270387</v>
      </c>
      <c r="H569" s="336">
        <f t="shared" si="26"/>
        <v>1913905.107270387</v>
      </c>
      <c r="I569" s="336">
        <f t="shared" si="27"/>
        <v>1913905.107270387</v>
      </c>
      <c r="J569" s="336"/>
    </row>
    <row r="570" spans="1:10">
      <c r="A570" s="311"/>
      <c r="B570" s="312" t="s">
        <v>712</v>
      </c>
      <c r="C570" s="352" t="s">
        <v>318</v>
      </c>
      <c r="D570" s="355">
        <v>0</v>
      </c>
      <c r="E570" s="342">
        <f t="shared" si="28"/>
        <v>0</v>
      </c>
      <c r="F570" s="342"/>
      <c r="G570" s="336">
        <v>0</v>
      </c>
      <c r="H570" s="336">
        <f t="shared" si="26"/>
        <v>0</v>
      </c>
      <c r="I570" s="336">
        <f t="shared" si="27"/>
        <v>0</v>
      </c>
      <c r="J570" s="336"/>
    </row>
    <row r="571" spans="1:10">
      <c r="A571" s="305">
        <v>37</v>
      </c>
      <c r="B571" s="309" t="s">
        <v>605</v>
      </c>
      <c r="C571" s="352" t="s">
        <v>320</v>
      </c>
      <c r="D571" s="355">
        <v>0.55100000000000005</v>
      </c>
      <c r="E571" s="342">
        <f t="shared" si="28"/>
        <v>0.55100000000000005</v>
      </c>
      <c r="F571" s="342"/>
      <c r="G571" s="336">
        <v>869256.05268892506</v>
      </c>
      <c r="H571" s="336">
        <f t="shared" si="26"/>
        <v>478960.08503159776</v>
      </c>
      <c r="I571" s="336">
        <f t="shared" si="27"/>
        <v>478960.08503159776</v>
      </c>
      <c r="J571" s="336"/>
    </row>
    <row r="572" spans="1:10">
      <c r="A572" s="305">
        <v>38</v>
      </c>
      <c r="B572" s="307" t="s">
        <v>384</v>
      </c>
      <c r="C572" s="352" t="s">
        <v>30</v>
      </c>
      <c r="D572" s="355">
        <v>311.73</v>
      </c>
      <c r="E572" s="342">
        <f t="shared" si="28"/>
        <v>311.73</v>
      </c>
      <c r="F572" s="342"/>
      <c r="G572" s="336">
        <v>125964.79169214601</v>
      </c>
      <c r="H572" s="336">
        <f t="shared" si="26"/>
        <v>39267004.514192678</v>
      </c>
      <c r="I572" s="336">
        <f t="shared" si="27"/>
        <v>39267004.514192678</v>
      </c>
      <c r="J572" s="336"/>
    </row>
    <row r="573" spans="1:10">
      <c r="A573" s="305">
        <v>39</v>
      </c>
      <c r="B573" s="307" t="s">
        <v>519</v>
      </c>
      <c r="C573" s="352" t="s">
        <v>320</v>
      </c>
      <c r="D573" s="355">
        <v>4.7089999999999996</v>
      </c>
      <c r="E573" s="342">
        <f t="shared" si="28"/>
        <v>4.7089999999999996</v>
      </c>
      <c r="F573" s="342"/>
      <c r="G573" s="336">
        <v>1972724.2284497223</v>
      </c>
      <c r="H573" s="336">
        <f t="shared" si="26"/>
        <v>9289558.3917697407</v>
      </c>
      <c r="I573" s="336">
        <f t="shared" si="27"/>
        <v>9289558.3917697407</v>
      </c>
      <c r="J573" s="336"/>
    </row>
    <row r="574" spans="1:10" ht="34.5">
      <c r="A574" s="303"/>
      <c r="B574" s="312" t="s">
        <v>729</v>
      </c>
      <c r="C574" s="352"/>
      <c r="D574" s="355">
        <v>0</v>
      </c>
      <c r="E574" s="342">
        <f t="shared" si="28"/>
        <v>0</v>
      </c>
      <c r="F574" s="342"/>
      <c r="G574" s="336">
        <v>0</v>
      </c>
      <c r="H574" s="336">
        <f t="shared" si="26"/>
        <v>0</v>
      </c>
      <c r="I574" s="336">
        <f t="shared" si="27"/>
        <v>0</v>
      </c>
      <c r="J574" s="336"/>
    </row>
    <row r="575" spans="1:10" ht="33">
      <c r="A575" s="303">
        <v>40</v>
      </c>
      <c r="B575" s="313" t="s">
        <v>521</v>
      </c>
      <c r="C575" s="352" t="s">
        <v>70</v>
      </c>
      <c r="D575" s="355">
        <v>7.2080000000000002</v>
      </c>
      <c r="E575" s="342">
        <f t="shared" si="28"/>
        <v>7.2080000000000002</v>
      </c>
      <c r="F575" s="342"/>
      <c r="G575" s="336">
        <v>641833.43269227596</v>
      </c>
      <c r="H575" s="336">
        <f t="shared" si="26"/>
        <v>4626335.3828459252</v>
      </c>
      <c r="I575" s="336">
        <f t="shared" si="27"/>
        <v>4626335.3828459252</v>
      </c>
      <c r="J575" s="336"/>
    </row>
    <row r="576" spans="1:10" ht="33">
      <c r="A576" s="303">
        <v>41</v>
      </c>
      <c r="B576" s="313" t="s">
        <v>522</v>
      </c>
      <c r="C576" s="352" t="s">
        <v>70</v>
      </c>
      <c r="D576" s="355">
        <v>7.2080000000000002</v>
      </c>
      <c r="E576" s="342">
        <f t="shared" si="28"/>
        <v>7.2080000000000002</v>
      </c>
      <c r="F576" s="342"/>
      <c r="G576" s="336">
        <v>2721373.5550778592</v>
      </c>
      <c r="H576" s="336">
        <f t="shared" si="26"/>
        <v>19615660.585001208</v>
      </c>
      <c r="I576" s="336">
        <f t="shared" si="27"/>
        <v>19615660.585001208</v>
      </c>
      <c r="J576" s="336"/>
    </row>
    <row r="577" spans="1:10" ht="33">
      <c r="A577" s="303">
        <v>42</v>
      </c>
      <c r="B577" s="313" t="s">
        <v>523</v>
      </c>
      <c r="C577" s="352" t="s">
        <v>70</v>
      </c>
      <c r="D577" s="355">
        <v>7.2080000000000002</v>
      </c>
      <c r="E577" s="342">
        <f t="shared" si="28"/>
        <v>7.2080000000000002</v>
      </c>
      <c r="F577" s="342"/>
      <c r="G577" s="336">
        <v>6829107.2323024878</v>
      </c>
      <c r="H577" s="336">
        <f t="shared" si="26"/>
        <v>49224204.930436336</v>
      </c>
      <c r="I577" s="336">
        <f t="shared" si="27"/>
        <v>49224204.930436336</v>
      </c>
      <c r="J577" s="336"/>
    </row>
    <row r="578" spans="1:10" ht="33">
      <c r="A578" s="303">
        <v>43</v>
      </c>
      <c r="B578" s="313" t="s">
        <v>728</v>
      </c>
      <c r="C578" s="352" t="s">
        <v>70</v>
      </c>
      <c r="D578" s="355">
        <v>7.2080000000000002</v>
      </c>
      <c r="E578" s="342">
        <f t="shared" si="28"/>
        <v>7.2080000000000002</v>
      </c>
      <c r="F578" s="342"/>
      <c r="G578" s="336">
        <v>472389.32177979301</v>
      </c>
      <c r="H578" s="336">
        <f t="shared" si="26"/>
        <v>3404982.2313887482</v>
      </c>
      <c r="I578" s="336">
        <f t="shared" si="27"/>
        <v>3404982.2313887482</v>
      </c>
      <c r="J578" s="336"/>
    </row>
    <row r="579" spans="1:10">
      <c r="A579" s="303">
        <v>44</v>
      </c>
      <c r="B579" s="307" t="s">
        <v>385</v>
      </c>
      <c r="C579" s="352" t="s">
        <v>322</v>
      </c>
      <c r="D579" s="355">
        <v>7.2080000000000002</v>
      </c>
      <c r="E579" s="342">
        <f t="shared" si="28"/>
        <v>7.2080000000000002</v>
      </c>
      <c r="F579" s="342"/>
      <c r="G579" s="336">
        <v>216467.65221015</v>
      </c>
      <c r="H579" s="336">
        <f t="shared" si="26"/>
        <v>1560298.8371307612</v>
      </c>
      <c r="I579" s="336">
        <f t="shared" si="27"/>
        <v>1560298.8371307612</v>
      </c>
      <c r="J579" s="336"/>
    </row>
    <row r="580" spans="1:10" ht="33">
      <c r="A580" s="303">
        <v>45</v>
      </c>
      <c r="B580" s="309" t="s">
        <v>449</v>
      </c>
      <c r="C580" s="352" t="s">
        <v>320</v>
      </c>
      <c r="D580" s="355">
        <v>0.47099999999999997</v>
      </c>
      <c r="E580" s="342">
        <f t="shared" si="28"/>
        <v>0.47099999999999997</v>
      </c>
      <c r="F580" s="342"/>
      <c r="G580" s="336">
        <v>3782584.3348013824</v>
      </c>
      <c r="H580" s="336">
        <f t="shared" si="26"/>
        <v>1781597.221691451</v>
      </c>
      <c r="I580" s="336">
        <f t="shared" si="27"/>
        <v>1781597.221691451</v>
      </c>
      <c r="J580" s="336"/>
    </row>
    <row r="581" spans="1:10">
      <c r="A581" s="303">
        <v>46</v>
      </c>
      <c r="B581" s="309" t="s">
        <v>354</v>
      </c>
      <c r="C581" s="352" t="s">
        <v>320</v>
      </c>
      <c r="D581" s="355">
        <v>4.7430000000000003</v>
      </c>
      <c r="E581" s="342">
        <f t="shared" si="28"/>
        <v>4.7430000000000003</v>
      </c>
      <c r="F581" s="342"/>
      <c r="G581" s="336">
        <v>19155571.308668852</v>
      </c>
      <c r="H581" s="336">
        <f t="shared" si="26"/>
        <v>90854874.717016369</v>
      </c>
      <c r="I581" s="336">
        <f t="shared" si="27"/>
        <v>90854874.717016369</v>
      </c>
      <c r="J581" s="336"/>
    </row>
    <row r="582" spans="1:10">
      <c r="A582" s="303">
        <v>47</v>
      </c>
      <c r="B582" s="309" t="s">
        <v>713</v>
      </c>
      <c r="C582" s="352" t="s">
        <v>323</v>
      </c>
      <c r="D582" s="355">
        <v>17.34</v>
      </c>
      <c r="E582" s="342">
        <f t="shared" si="28"/>
        <v>17.34</v>
      </c>
      <c r="F582" s="342"/>
      <c r="G582" s="336">
        <v>499374.96253281418</v>
      </c>
      <c r="H582" s="336">
        <f t="shared" si="26"/>
        <v>8659161.8503189981</v>
      </c>
      <c r="I582" s="336">
        <f t="shared" si="27"/>
        <v>8659161.8503189981</v>
      </c>
      <c r="J582" s="336"/>
    </row>
    <row r="583" spans="1:10">
      <c r="A583" s="303">
        <v>48</v>
      </c>
      <c r="B583" s="309" t="s">
        <v>396</v>
      </c>
      <c r="C583" s="352" t="s">
        <v>325</v>
      </c>
      <c r="D583" s="355">
        <v>3.6989999999999998</v>
      </c>
      <c r="E583" s="342">
        <f t="shared" si="28"/>
        <v>3.6989999999999998</v>
      </c>
      <c r="F583" s="342"/>
      <c r="G583" s="336">
        <v>2389507.7110639899</v>
      </c>
      <c r="H583" s="336">
        <f t="shared" si="26"/>
        <v>8838789.0232256986</v>
      </c>
      <c r="I583" s="336">
        <f t="shared" si="27"/>
        <v>8838789.0232256986</v>
      </c>
      <c r="J583" s="336"/>
    </row>
    <row r="584" spans="1:10" ht="33">
      <c r="A584" s="303">
        <v>49</v>
      </c>
      <c r="B584" s="309" t="s">
        <v>527</v>
      </c>
      <c r="C584" s="352" t="s">
        <v>324</v>
      </c>
      <c r="D584" s="355">
        <v>1.04</v>
      </c>
      <c r="E584" s="342">
        <f t="shared" si="28"/>
        <v>1.04</v>
      </c>
      <c r="F584" s="342"/>
      <c r="G584" s="336">
        <v>99682971.680002213</v>
      </c>
      <c r="H584" s="336">
        <f t="shared" si="26"/>
        <v>103670290.5472023</v>
      </c>
      <c r="I584" s="336">
        <f t="shared" si="27"/>
        <v>103670290.5472023</v>
      </c>
      <c r="J584" s="336"/>
    </row>
    <row r="585" spans="1:10" ht="33">
      <c r="A585" s="303">
        <v>50</v>
      </c>
      <c r="B585" s="309" t="s">
        <v>727</v>
      </c>
      <c r="C585" s="352" t="s">
        <v>324</v>
      </c>
      <c r="D585" s="355">
        <v>0.1</v>
      </c>
      <c r="E585" s="342">
        <f t="shared" si="28"/>
        <v>0.1</v>
      </c>
      <c r="F585" s="342"/>
      <c r="G585" s="336">
        <v>99217726.040167078</v>
      </c>
      <c r="H585" s="336">
        <f t="shared" si="26"/>
        <v>9921772.6040167082</v>
      </c>
      <c r="I585" s="336">
        <f t="shared" si="27"/>
        <v>9921772.6040167082</v>
      </c>
      <c r="J585" s="336"/>
    </row>
    <row r="586" spans="1:10">
      <c r="A586" s="303"/>
      <c r="B586" s="308" t="s">
        <v>726</v>
      </c>
      <c r="C586" s="352"/>
      <c r="D586" s="355">
        <v>0</v>
      </c>
      <c r="E586" s="342">
        <f t="shared" si="28"/>
        <v>0</v>
      </c>
      <c r="F586" s="342"/>
      <c r="G586" s="336">
        <v>0</v>
      </c>
      <c r="H586" s="336">
        <f t="shared" si="26"/>
        <v>0</v>
      </c>
      <c r="I586" s="336">
        <f t="shared" si="27"/>
        <v>0</v>
      </c>
      <c r="J586" s="336"/>
    </row>
    <row r="587" spans="1:10">
      <c r="A587" s="311"/>
      <c r="B587" s="308" t="s">
        <v>725</v>
      </c>
      <c r="C587" s="352"/>
      <c r="D587" s="355">
        <v>0</v>
      </c>
      <c r="E587" s="342">
        <f t="shared" si="28"/>
        <v>0</v>
      </c>
      <c r="F587" s="342"/>
      <c r="G587" s="336">
        <v>0</v>
      </c>
      <c r="H587" s="336">
        <f t="shared" si="26"/>
        <v>0</v>
      </c>
      <c r="I587" s="336">
        <f t="shared" si="27"/>
        <v>0</v>
      </c>
      <c r="J587" s="336"/>
    </row>
    <row r="588" spans="1:10" ht="33">
      <c r="A588" s="305">
        <v>51</v>
      </c>
      <c r="B588" s="309" t="s">
        <v>387</v>
      </c>
      <c r="C588" s="352" t="s">
        <v>323</v>
      </c>
      <c r="D588" s="355">
        <v>27.97</v>
      </c>
      <c r="E588" s="342">
        <f t="shared" si="28"/>
        <v>27.97</v>
      </c>
      <c r="F588" s="342"/>
      <c r="G588" s="336">
        <v>2027464.7566844549</v>
      </c>
      <c r="H588" s="336">
        <f t="shared" si="26"/>
        <v>56708189.244464204</v>
      </c>
      <c r="I588" s="336">
        <f t="shared" si="27"/>
        <v>56708189.244464204</v>
      </c>
      <c r="J588" s="336"/>
    </row>
    <row r="589" spans="1:10" ht="33">
      <c r="A589" s="305">
        <v>52</v>
      </c>
      <c r="B589" s="309" t="s">
        <v>724</v>
      </c>
      <c r="C589" s="352" t="s">
        <v>323</v>
      </c>
      <c r="D589" s="355">
        <v>72.040000000000006</v>
      </c>
      <c r="E589" s="342">
        <f t="shared" si="28"/>
        <v>72.040000000000006</v>
      </c>
      <c r="F589" s="342"/>
      <c r="G589" s="336">
        <v>2608057.7646897146</v>
      </c>
      <c r="H589" s="336">
        <f t="shared" si="26"/>
        <v>187884481.36824706</v>
      </c>
      <c r="I589" s="336">
        <f t="shared" si="27"/>
        <v>187884481.36824706</v>
      </c>
      <c r="J589" s="336"/>
    </row>
    <row r="590" spans="1:10" ht="33">
      <c r="A590" s="305">
        <v>53</v>
      </c>
      <c r="B590" s="309" t="s">
        <v>403</v>
      </c>
      <c r="C590" s="352" t="s">
        <v>323</v>
      </c>
      <c r="D590" s="355">
        <v>5.24</v>
      </c>
      <c r="E590" s="342">
        <f t="shared" si="28"/>
        <v>5.24</v>
      </c>
      <c r="F590" s="342"/>
      <c r="G590" s="336">
        <v>2426266.6352811917</v>
      </c>
      <c r="H590" s="336">
        <f t="shared" si="26"/>
        <v>12713637.168873444</v>
      </c>
      <c r="I590" s="336">
        <f t="shared" si="27"/>
        <v>12713637.168873444</v>
      </c>
      <c r="J590" s="336"/>
    </row>
    <row r="591" spans="1:10" ht="33">
      <c r="A591" s="305">
        <v>54</v>
      </c>
      <c r="B591" s="309" t="s">
        <v>404</v>
      </c>
      <c r="C591" s="352" t="s">
        <v>323</v>
      </c>
      <c r="D591" s="355">
        <v>2.29</v>
      </c>
      <c r="E591" s="342">
        <f t="shared" si="28"/>
        <v>2.29</v>
      </c>
      <c r="F591" s="342"/>
      <c r="G591" s="336">
        <v>2913712.1823196714</v>
      </c>
      <c r="H591" s="336">
        <f t="shared" si="26"/>
        <v>6672400.8975120476</v>
      </c>
      <c r="I591" s="336">
        <f t="shared" si="27"/>
        <v>6672400.8975120476</v>
      </c>
      <c r="J591" s="336"/>
    </row>
    <row r="592" spans="1:10" ht="33">
      <c r="A592" s="305">
        <v>55</v>
      </c>
      <c r="B592" s="309" t="s">
        <v>548</v>
      </c>
      <c r="C592" s="352" t="s">
        <v>323</v>
      </c>
      <c r="D592" s="355">
        <v>1.3</v>
      </c>
      <c r="E592" s="342">
        <f t="shared" si="28"/>
        <v>1.3</v>
      </c>
      <c r="F592" s="342"/>
      <c r="G592" s="336">
        <v>2426266.6352811917</v>
      </c>
      <c r="H592" s="336">
        <f t="shared" ref="H592:H655" si="29">D592*G592</f>
        <v>3154146.6258655493</v>
      </c>
      <c r="I592" s="336">
        <f t="shared" ref="I592:I655" si="30">E592*G592</f>
        <v>3154146.6258655493</v>
      </c>
      <c r="J592" s="336"/>
    </row>
    <row r="593" spans="1:10">
      <c r="A593" s="305">
        <v>56</v>
      </c>
      <c r="B593" s="309" t="s">
        <v>388</v>
      </c>
      <c r="C593" s="352" t="s">
        <v>326</v>
      </c>
      <c r="D593" s="355">
        <v>111.56100000000001</v>
      </c>
      <c r="E593" s="342">
        <f t="shared" ref="E593:E656" si="31">D593</f>
        <v>111.56100000000001</v>
      </c>
      <c r="F593" s="342"/>
      <c r="G593" s="336">
        <v>30806.869839482002</v>
      </c>
      <c r="H593" s="336">
        <f t="shared" si="29"/>
        <v>3436845.2061624518</v>
      </c>
      <c r="I593" s="336">
        <f t="shared" si="30"/>
        <v>3436845.2061624518</v>
      </c>
      <c r="J593" s="336"/>
    </row>
    <row r="594" spans="1:10">
      <c r="A594" s="305">
        <v>57</v>
      </c>
      <c r="B594" s="307" t="s">
        <v>389</v>
      </c>
      <c r="C594" s="352" t="s">
        <v>328</v>
      </c>
      <c r="D594" s="355">
        <v>2.95</v>
      </c>
      <c r="E594" s="342">
        <f t="shared" si="31"/>
        <v>2.95</v>
      </c>
      <c r="F594" s="342"/>
      <c r="G594" s="336">
        <v>1453528.4231198058</v>
      </c>
      <c r="H594" s="336">
        <f t="shared" si="29"/>
        <v>4287908.8482034272</v>
      </c>
      <c r="I594" s="336">
        <f t="shared" si="30"/>
        <v>4287908.8482034272</v>
      </c>
      <c r="J594" s="336"/>
    </row>
    <row r="595" spans="1:10">
      <c r="A595" s="305">
        <v>58</v>
      </c>
      <c r="B595" s="309" t="s">
        <v>352</v>
      </c>
      <c r="C595" s="352" t="s">
        <v>324</v>
      </c>
      <c r="D595" s="355">
        <v>64.935000000000002</v>
      </c>
      <c r="E595" s="342">
        <f t="shared" si="31"/>
        <v>64.935000000000002</v>
      </c>
      <c r="F595" s="342"/>
      <c r="G595" s="336">
        <v>1528207.3601667725</v>
      </c>
      <c r="H595" s="336">
        <f t="shared" si="29"/>
        <v>99234144.932429373</v>
      </c>
      <c r="I595" s="336">
        <f t="shared" si="30"/>
        <v>99234144.932429373</v>
      </c>
      <c r="J595" s="336"/>
    </row>
    <row r="596" spans="1:10">
      <c r="A596" s="305">
        <v>59</v>
      </c>
      <c r="B596" s="309" t="s">
        <v>390</v>
      </c>
      <c r="C596" s="352" t="s">
        <v>504</v>
      </c>
      <c r="D596" s="355">
        <v>1.6319999999999999</v>
      </c>
      <c r="E596" s="342">
        <f t="shared" si="31"/>
        <v>1.6319999999999999</v>
      </c>
      <c r="F596" s="342"/>
      <c r="G596" s="336">
        <v>22959485.217240658</v>
      </c>
      <c r="H596" s="336">
        <f t="shared" si="29"/>
        <v>37469879.874536753</v>
      </c>
      <c r="I596" s="336">
        <f t="shared" si="30"/>
        <v>37469879.874536753</v>
      </c>
      <c r="J596" s="336"/>
    </row>
    <row r="597" spans="1:10">
      <c r="A597" s="305">
        <v>60</v>
      </c>
      <c r="B597" s="309" t="s">
        <v>394</v>
      </c>
      <c r="C597" s="352" t="s">
        <v>504</v>
      </c>
      <c r="D597" s="355">
        <v>4.6390000000000002</v>
      </c>
      <c r="E597" s="342">
        <f t="shared" si="31"/>
        <v>4.6390000000000002</v>
      </c>
      <c r="F597" s="342"/>
      <c r="G597" s="336">
        <v>23872760.678466823</v>
      </c>
      <c r="H597" s="336">
        <f t="shared" si="29"/>
        <v>110745736.78740759</v>
      </c>
      <c r="I597" s="336">
        <f t="shared" si="30"/>
        <v>110745736.78740759</v>
      </c>
      <c r="J597" s="336"/>
    </row>
    <row r="598" spans="1:10">
      <c r="A598" s="305">
        <v>61</v>
      </c>
      <c r="B598" s="309" t="s">
        <v>405</v>
      </c>
      <c r="C598" s="352" t="s">
        <v>504</v>
      </c>
      <c r="D598" s="355">
        <v>9.7000000000000003E-2</v>
      </c>
      <c r="E598" s="342">
        <f t="shared" si="31"/>
        <v>9.7000000000000003E-2</v>
      </c>
      <c r="F598" s="342"/>
      <c r="G598" s="336">
        <v>23731751.132482599</v>
      </c>
      <c r="H598" s="336">
        <f t="shared" si="29"/>
        <v>2301979.8598508122</v>
      </c>
      <c r="I598" s="336">
        <f t="shared" si="30"/>
        <v>2301979.8598508122</v>
      </c>
      <c r="J598" s="336"/>
    </row>
    <row r="599" spans="1:10">
      <c r="A599" s="305">
        <v>62</v>
      </c>
      <c r="B599" s="309" t="s">
        <v>407</v>
      </c>
      <c r="C599" s="352" t="s">
        <v>504</v>
      </c>
      <c r="D599" s="355">
        <v>0.83</v>
      </c>
      <c r="E599" s="342">
        <f t="shared" si="31"/>
        <v>0.83</v>
      </c>
      <c r="F599" s="342"/>
      <c r="G599" s="336">
        <v>23577316.613480441</v>
      </c>
      <c r="H599" s="336">
        <f t="shared" si="29"/>
        <v>19569172.789188765</v>
      </c>
      <c r="I599" s="336">
        <f t="shared" si="30"/>
        <v>19569172.789188765</v>
      </c>
      <c r="J599" s="336"/>
    </row>
    <row r="600" spans="1:10">
      <c r="A600" s="305">
        <v>63</v>
      </c>
      <c r="B600" s="307" t="s">
        <v>392</v>
      </c>
      <c r="C600" s="352" t="s">
        <v>329</v>
      </c>
      <c r="D600" s="355">
        <v>0.21099999999999999</v>
      </c>
      <c r="E600" s="342">
        <f t="shared" si="31"/>
        <v>0.21099999999999999</v>
      </c>
      <c r="F600" s="342"/>
      <c r="G600" s="336">
        <v>4683274.2184133623</v>
      </c>
      <c r="H600" s="336">
        <f t="shared" si="29"/>
        <v>988170.86008521938</v>
      </c>
      <c r="I600" s="336">
        <f t="shared" si="30"/>
        <v>988170.86008521938</v>
      </c>
      <c r="J600" s="336"/>
    </row>
    <row r="601" spans="1:10">
      <c r="A601" s="305">
        <v>64</v>
      </c>
      <c r="B601" s="307" t="s">
        <v>395</v>
      </c>
      <c r="C601" s="352" t="s">
        <v>67</v>
      </c>
      <c r="D601" s="355">
        <v>2.8319999999999999</v>
      </c>
      <c r="E601" s="342">
        <f t="shared" si="31"/>
        <v>2.8319999999999999</v>
      </c>
      <c r="F601" s="342"/>
      <c r="G601" s="336">
        <v>10629092.200973125</v>
      </c>
      <c r="H601" s="336">
        <f t="shared" si="29"/>
        <v>30101589.11315589</v>
      </c>
      <c r="I601" s="336">
        <f t="shared" si="30"/>
        <v>30101589.11315589</v>
      </c>
      <c r="J601" s="336"/>
    </row>
    <row r="602" spans="1:10">
      <c r="A602" s="305">
        <v>65</v>
      </c>
      <c r="B602" s="309" t="s">
        <v>406</v>
      </c>
      <c r="C602" s="352" t="s">
        <v>325</v>
      </c>
      <c r="D602" s="355">
        <v>0.17499999999999999</v>
      </c>
      <c r="E602" s="342">
        <f t="shared" si="31"/>
        <v>0.17499999999999999</v>
      </c>
      <c r="F602" s="342"/>
      <c r="G602" s="336">
        <v>8117524.669297385</v>
      </c>
      <c r="H602" s="336">
        <f t="shared" si="29"/>
        <v>1420566.8171270422</v>
      </c>
      <c r="I602" s="336">
        <f t="shared" si="30"/>
        <v>1420566.8171270422</v>
      </c>
      <c r="J602" s="336"/>
    </row>
    <row r="603" spans="1:10">
      <c r="A603" s="311"/>
      <c r="B603" s="312" t="s">
        <v>549</v>
      </c>
      <c r="C603" s="370"/>
      <c r="D603" s="355">
        <v>0</v>
      </c>
      <c r="E603" s="342">
        <f t="shared" si="31"/>
        <v>0</v>
      </c>
      <c r="F603" s="342"/>
      <c r="G603" s="336">
        <v>0</v>
      </c>
      <c r="H603" s="336">
        <f t="shared" si="29"/>
        <v>0</v>
      </c>
      <c r="I603" s="336">
        <f t="shared" si="30"/>
        <v>0</v>
      </c>
      <c r="J603" s="336"/>
    </row>
    <row r="604" spans="1:10" ht="33">
      <c r="A604" s="305">
        <v>66</v>
      </c>
      <c r="B604" s="309" t="s">
        <v>387</v>
      </c>
      <c r="C604" s="352" t="s">
        <v>323</v>
      </c>
      <c r="D604" s="355">
        <v>6.18</v>
      </c>
      <c r="E604" s="342">
        <f t="shared" si="31"/>
        <v>6.18</v>
      </c>
      <c r="F604" s="342"/>
      <c r="G604" s="336">
        <v>2027464.7566844549</v>
      </c>
      <c r="H604" s="336">
        <f t="shared" si="29"/>
        <v>12529732.19630993</v>
      </c>
      <c r="I604" s="336">
        <f t="shared" si="30"/>
        <v>12529732.19630993</v>
      </c>
      <c r="J604" s="336"/>
    </row>
    <row r="605" spans="1:10" ht="33">
      <c r="A605" s="305">
        <v>67</v>
      </c>
      <c r="B605" s="309" t="s">
        <v>393</v>
      </c>
      <c r="C605" s="352" t="s">
        <v>323</v>
      </c>
      <c r="D605" s="355">
        <v>8.6300000000000008</v>
      </c>
      <c r="E605" s="342">
        <f t="shared" si="31"/>
        <v>8.6300000000000008</v>
      </c>
      <c r="F605" s="342"/>
      <c r="G605" s="336">
        <v>2608057.7646897146</v>
      </c>
      <c r="H605" s="336">
        <f t="shared" si="29"/>
        <v>22507538.50927224</v>
      </c>
      <c r="I605" s="336">
        <f t="shared" si="30"/>
        <v>22507538.50927224</v>
      </c>
      <c r="J605" s="336"/>
    </row>
    <row r="606" spans="1:10">
      <c r="A606" s="305">
        <v>68</v>
      </c>
      <c r="B606" s="309" t="s">
        <v>388</v>
      </c>
      <c r="C606" s="352" t="s">
        <v>326</v>
      </c>
      <c r="D606" s="355">
        <v>15.18</v>
      </c>
      <c r="E606" s="342">
        <f t="shared" si="31"/>
        <v>15.18</v>
      </c>
      <c r="F606" s="342"/>
      <c r="G606" s="336">
        <v>30806.869839482002</v>
      </c>
      <c r="H606" s="336">
        <f t="shared" si="29"/>
        <v>467648.28416333679</v>
      </c>
      <c r="I606" s="336">
        <f t="shared" si="30"/>
        <v>467648.28416333679</v>
      </c>
      <c r="J606" s="336"/>
    </row>
    <row r="607" spans="1:10">
      <c r="A607" s="305">
        <v>69</v>
      </c>
      <c r="B607" s="307" t="s">
        <v>389</v>
      </c>
      <c r="C607" s="352" t="s">
        <v>328</v>
      </c>
      <c r="D607" s="355">
        <v>1.03</v>
      </c>
      <c r="E607" s="342">
        <f t="shared" si="31"/>
        <v>1.03</v>
      </c>
      <c r="F607" s="342"/>
      <c r="G607" s="336">
        <v>1453528.4231198058</v>
      </c>
      <c r="H607" s="336">
        <f t="shared" si="29"/>
        <v>1497134.2758134</v>
      </c>
      <c r="I607" s="336">
        <f t="shared" si="30"/>
        <v>1497134.2758134</v>
      </c>
      <c r="J607" s="336"/>
    </row>
    <row r="608" spans="1:10">
      <c r="A608" s="305">
        <v>70</v>
      </c>
      <c r="B608" s="309" t="s">
        <v>352</v>
      </c>
      <c r="C608" s="352" t="s">
        <v>324</v>
      </c>
      <c r="D608" s="355">
        <v>23.175000000000001</v>
      </c>
      <c r="E608" s="342">
        <f t="shared" si="31"/>
        <v>23.175000000000001</v>
      </c>
      <c r="F608" s="342"/>
      <c r="G608" s="336">
        <v>1528207.3601667725</v>
      </c>
      <c r="H608" s="336">
        <f t="shared" si="29"/>
        <v>35416205.571864955</v>
      </c>
      <c r="I608" s="336">
        <f t="shared" si="30"/>
        <v>35416205.571864955</v>
      </c>
      <c r="J608" s="336"/>
    </row>
    <row r="609" spans="1:10">
      <c r="A609" s="305">
        <v>71</v>
      </c>
      <c r="B609" s="309" t="s">
        <v>394</v>
      </c>
      <c r="C609" s="352" t="s">
        <v>504</v>
      </c>
      <c r="D609" s="355">
        <v>1.794</v>
      </c>
      <c r="E609" s="342">
        <f t="shared" si="31"/>
        <v>1.794</v>
      </c>
      <c r="F609" s="342"/>
      <c r="G609" s="336">
        <v>23872760.678466823</v>
      </c>
      <c r="H609" s="336">
        <f t="shared" si="29"/>
        <v>42827732.657169484</v>
      </c>
      <c r="I609" s="336">
        <f t="shared" si="30"/>
        <v>42827732.657169484</v>
      </c>
      <c r="J609" s="336"/>
    </row>
    <row r="610" spans="1:10">
      <c r="A610" s="305">
        <v>72</v>
      </c>
      <c r="B610" s="307" t="s">
        <v>392</v>
      </c>
      <c r="C610" s="352" t="s">
        <v>329</v>
      </c>
      <c r="D610" s="355">
        <v>0.13500000000000001</v>
      </c>
      <c r="E610" s="342">
        <f t="shared" si="31"/>
        <v>0.13500000000000001</v>
      </c>
      <c r="F610" s="342"/>
      <c r="G610" s="336">
        <v>4683274.2184133623</v>
      </c>
      <c r="H610" s="336">
        <f t="shared" si="29"/>
        <v>632242.0194858039</v>
      </c>
      <c r="I610" s="336">
        <f t="shared" si="30"/>
        <v>632242.0194858039</v>
      </c>
      <c r="J610" s="336"/>
    </row>
    <row r="611" spans="1:10">
      <c r="A611" s="305">
        <v>73</v>
      </c>
      <c r="B611" s="307" t="s">
        <v>395</v>
      </c>
      <c r="C611" s="352" t="s">
        <v>67</v>
      </c>
      <c r="D611" s="355">
        <v>0.59899999999999998</v>
      </c>
      <c r="E611" s="342">
        <f t="shared" si="31"/>
        <v>0.59899999999999998</v>
      </c>
      <c r="F611" s="342"/>
      <c r="G611" s="336">
        <v>10629092.200973125</v>
      </c>
      <c r="H611" s="336">
        <f t="shared" si="29"/>
        <v>6366826.2283829013</v>
      </c>
      <c r="I611" s="336">
        <f t="shared" si="30"/>
        <v>6366826.2283829013</v>
      </c>
      <c r="J611" s="336"/>
    </row>
    <row r="612" spans="1:10">
      <c r="A612" s="369"/>
      <c r="B612" s="308" t="s">
        <v>553</v>
      </c>
      <c r="C612" s="368"/>
      <c r="D612" s="355">
        <v>0</v>
      </c>
      <c r="E612" s="342">
        <f t="shared" si="31"/>
        <v>0</v>
      </c>
      <c r="F612" s="342"/>
      <c r="G612" s="336">
        <v>0</v>
      </c>
      <c r="H612" s="336">
        <f t="shared" si="29"/>
        <v>0</v>
      </c>
      <c r="I612" s="336">
        <f t="shared" si="30"/>
        <v>0</v>
      </c>
      <c r="J612" s="336"/>
    </row>
    <row r="613" spans="1:10" ht="33">
      <c r="A613" s="305">
        <v>74</v>
      </c>
      <c r="B613" s="309" t="s">
        <v>409</v>
      </c>
      <c r="C613" s="352" t="s">
        <v>323</v>
      </c>
      <c r="D613" s="355">
        <v>19.71</v>
      </c>
      <c r="E613" s="342">
        <f t="shared" si="31"/>
        <v>19.71</v>
      </c>
      <c r="F613" s="342"/>
      <c r="G613" s="336">
        <v>2027464.7566844549</v>
      </c>
      <c r="H613" s="336">
        <f t="shared" si="29"/>
        <v>39961330.35425061</v>
      </c>
      <c r="I613" s="336">
        <f t="shared" si="30"/>
        <v>39961330.35425061</v>
      </c>
      <c r="J613" s="336"/>
    </row>
    <row r="614" spans="1:10">
      <c r="A614" s="305">
        <v>75</v>
      </c>
      <c r="B614" s="309" t="s">
        <v>388</v>
      </c>
      <c r="C614" s="352" t="s">
        <v>326</v>
      </c>
      <c r="D614" s="355">
        <v>20.202999999999999</v>
      </c>
      <c r="E614" s="342">
        <f t="shared" si="31"/>
        <v>20.202999999999999</v>
      </c>
      <c r="F614" s="342"/>
      <c r="G614" s="336">
        <v>30806.869839482002</v>
      </c>
      <c r="H614" s="336">
        <f t="shared" si="29"/>
        <v>622391.19136705482</v>
      </c>
      <c r="I614" s="336">
        <f t="shared" si="30"/>
        <v>622391.19136705482</v>
      </c>
      <c r="J614" s="336"/>
    </row>
    <row r="615" spans="1:10">
      <c r="A615" s="305">
        <v>76</v>
      </c>
      <c r="B615" s="309" t="s">
        <v>552</v>
      </c>
      <c r="C615" s="352" t="s">
        <v>504</v>
      </c>
      <c r="D615" s="355">
        <v>1.7999999999999999E-2</v>
      </c>
      <c r="E615" s="342">
        <f t="shared" si="31"/>
        <v>1.7999999999999999E-2</v>
      </c>
      <c r="F615" s="342"/>
      <c r="G615" s="336">
        <v>22970498.221207418</v>
      </c>
      <c r="H615" s="336">
        <f t="shared" si="29"/>
        <v>413468.9679817335</v>
      </c>
      <c r="I615" s="336">
        <f t="shared" si="30"/>
        <v>413468.9679817335</v>
      </c>
      <c r="J615" s="336"/>
    </row>
    <row r="616" spans="1:10">
      <c r="A616" s="305">
        <v>77</v>
      </c>
      <c r="B616" s="309" t="s">
        <v>391</v>
      </c>
      <c r="C616" s="352" t="s">
        <v>504</v>
      </c>
      <c r="D616" s="355">
        <v>1.835</v>
      </c>
      <c r="E616" s="342">
        <f t="shared" si="31"/>
        <v>1.835</v>
      </c>
      <c r="F616" s="342"/>
      <c r="G616" s="336">
        <v>22540677.403458439</v>
      </c>
      <c r="H616" s="336">
        <f t="shared" si="29"/>
        <v>41362143.035346232</v>
      </c>
      <c r="I616" s="336">
        <f t="shared" si="30"/>
        <v>41362143.035346232</v>
      </c>
      <c r="J616" s="336"/>
    </row>
    <row r="617" spans="1:10">
      <c r="A617" s="305">
        <v>78</v>
      </c>
      <c r="B617" s="307" t="s">
        <v>402</v>
      </c>
      <c r="C617" s="352" t="s">
        <v>331</v>
      </c>
      <c r="D617" s="355">
        <v>82.667000000000002</v>
      </c>
      <c r="E617" s="342">
        <f t="shared" si="31"/>
        <v>82.667000000000002</v>
      </c>
      <c r="F617" s="342"/>
      <c r="G617" s="336">
        <v>61715.820088263004</v>
      </c>
      <c r="H617" s="336">
        <f t="shared" si="29"/>
        <v>5101861.6992364377</v>
      </c>
      <c r="I617" s="336">
        <f t="shared" si="30"/>
        <v>5101861.6992364377</v>
      </c>
      <c r="J617" s="336"/>
    </row>
    <row r="618" spans="1:10">
      <c r="A618" s="305">
        <v>79</v>
      </c>
      <c r="B618" s="309" t="s">
        <v>410</v>
      </c>
      <c r="C618" s="352" t="s">
        <v>323</v>
      </c>
      <c r="D618" s="355">
        <v>4.95</v>
      </c>
      <c r="E618" s="342">
        <f t="shared" si="31"/>
        <v>4.95</v>
      </c>
      <c r="F618" s="342"/>
      <c r="G618" s="336">
        <v>1623118.7803397712</v>
      </c>
      <c r="H618" s="336">
        <f t="shared" si="29"/>
        <v>8034437.9626818672</v>
      </c>
      <c r="I618" s="336">
        <f t="shared" si="30"/>
        <v>8034437.9626818672</v>
      </c>
      <c r="J618" s="336"/>
    </row>
    <row r="619" spans="1:10">
      <c r="A619" s="305">
        <v>80</v>
      </c>
      <c r="B619" s="307" t="s">
        <v>392</v>
      </c>
      <c r="C619" s="352" t="s">
        <v>329</v>
      </c>
      <c r="D619" s="355">
        <v>0.156</v>
      </c>
      <c r="E619" s="342">
        <f t="shared" si="31"/>
        <v>0.156</v>
      </c>
      <c r="F619" s="342"/>
      <c r="G619" s="336">
        <v>4683274.2184133623</v>
      </c>
      <c r="H619" s="336">
        <f t="shared" si="29"/>
        <v>730590.77807248454</v>
      </c>
      <c r="I619" s="336">
        <f t="shared" si="30"/>
        <v>730590.77807248454</v>
      </c>
      <c r="J619" s="336"/>
    </row>
    <row r="620" spans="1:10">
      <c r="A620" s="305">
        <v>81</v>
      </c>
      <c r="B620" s="307" t="s">
        <v>411</v>
      </c>
      <c r="C620" s="352" t="s">
        <v>106</v>
      </c>
      <c r="D620" s="355">
        <v>7.6999999999999999E-2</v>
      </c>
      <c r="E620" s="342">
        <f t="shared" si="31"/>
        <v>7.6999999999999999E-2</v>
      </c>
      <c r="F620" s="342"/>
      <c r="G620" s="336">
        <v>2323017.5938828867</v>
      </c>
      <c r="H620" s="336">
        <f t="shared" si="29"/>
        <v>178872.35472898226</v>
      </c>
      <c r="I620" s="336">
        <f t="shared" si="30"/>
        <v>178872.35472898226</v>
      </c>
      <c r="J620" s="336"/>
    </row>
    <row r="621" spans="1:10">
      <c r="A621" s="305">
        <v>82</v>
      </c>
      <c r="B621" s="309" t="s">
        <v>554</v>
      </c>
      <c r="C621" s="352" t="s">
        <v>330</v>
      </c>
      <c r="D621" s="355">
        <v>3.3</v>
      </c>
      <c r="E621" s="342">
        <f t="shared" si="31"/>
        <v>3.3</v>
      </c>
      <c r="F621" s="342"/>
      <c r="G621" s="336">
        <v>192397.84604611999</v>
      </c>
      <c r="H621" s="336">
        <f t="shared" si="29"/>
        <v>634912.8919521959</v>
      </c>
      <c r="I621" s="336">
        <f t="shared" si="30"/>
        <v>634912.8919521959</v>
      </c>
      <c r="J621" s="336"/>
    </row>
    <row r="622" spans="1:10">
      <c r="A622" s="369"/>
      <c r="B622" s="308" t="s">
        <v>555</v>
      </c>
      <c r="C622" s="352"/>
      <c r="D622" s="340">
        <v>0</v>
      </c>
      <c r="E622" s="342">
        <f t="shared" si="31"/>
        <v>0</v>
      </c>
      <c r="F622" s="342"/>
      <c r="G622" s="336"/>
      <c r="H622" s="336">
        <f t="shared" si="29"/>
        <v>0</v>
      </c>
      <c r="I622" s="336">
        <f t="shared" si="30"/>
        <v>0</v>
      </c>
      <c r="J622" s="336"/>
    </row>
    <row r="623" spans="1:10">
      <c r="A623" s="303">
        <v>83</v>
      </c>
      <c r="B623" s="307" t="s">
        <v>723</v>
      </c>
      <c r="C623" s="352" t="s">
        <v>325</v>
      </c>
      <c r="D623" s="355">
        <v>2.9790000000000001</v>
      </c>
      <c r="E623" s="342">
        <f t="shared" si="31"/>
        <v>2.9790000000000001</v>
      </c>
      <c r="F623" s="342"/>
      <c r="G623" s="336">
        <v>15606522.859853663</v>
      </c>
      <c r="H623" s="336">
        <f t="shared" si="29"/>
        <v>46491831.599504061</v>
      </c>
      <c r="I623" s="336">
        <f t="shared" si="30"/>
        <v>46491831.599504061</v>
      </c>
      <c r="J623" s="336"/>
    </row>
    <row r="624" spans="1:10">
      <c r="A624" s="303">
        <v>84</v>
      </c>
      <c r="B624" s="307" t="s">
        <v>722</v>
      </c>
      <c r="C624" s="352"/>
      <c r="D624" s="355">
        <v>0</v>
      </c>
      <c r="E624" s="342">
        <f t="shared" si="31"/>
        <v>0</v>
      </c>
      <c r="F624" s="342"/>
      <c r="G624" s="336"/>
      <c r="H624" s="336">
        <f t="shared" si="29"/>
        <v>0</v>
      </c>
      <c r="I624" s="336">
        <f t="shared" si="30"/>
        <v>0</v>
      </c>
      <c r="J624" s="336"/>
    </row>
    <row r="625" spans="1:10" ht="33">
      <c r="A625" s="303">
        <v>85</v>
      </c>
      <c r="B625" s="307" t="s">
        <v>557</v>
      </c>
      <c r="C625" s="352" t="s">
        <v>325</v>
      </c>
      <c r="D625" s="355">
        <v>2.9790000000000001</v>
      </c>
      <c r="E625" s="342">
        <f t="shared" si="31"/>
        <v>2.9790000000000001</v>
      </c>
      <c r="F625" s="342"/>
      <c r="G625" s="336">
        <v>2713602.7903804714</v>
      </c>
      <c r="H625" s="336">
        <f t="shared" si="29"/>
        <v>8083822.7125434242</v>
      </c>
      <c r="I625" s="336">
        <f t="shared" si="30"/>
        <v>8083822.7125434242</v>
      </c>
      <c r="J625" s="336"/>
    </row>
    <row r="626" spans="1:10">
      <c r="A626" s="303">
        <v>86</v>
      </c>
      <c r="B626" s="309" t="s">
        <v>558</v>
      </c>
      <c r="C626" s="352" t="s">
        <v>70</v>
      </c>
      <c r="D626" s="355">
        <v>0.72799999999999998</v>
      </c>
      <c r="E626" s="342">
        <f t="shared" si="31"/>
        <v>0.72799999999999998</v>
      </c>
      <c r="F626" s="342"/>
      <c r="G626" s="336">
        <v>81099718.991999239</v>
      </c>
      <c r="H626" s="336">
        <f t="shared" si="29"/>
        <v>59040595.426175445</v>
      </c>
      <c r="I626" s="336">
        <f t="shared" si="30"/>
        <v>59040595.426175445</v>
      </c>
      <c r="J626" s="336"/>
    </row>
    <row r="627" spans="1:10">
      <c r="A627" s="303">
        <v>87</v>
      </c>
      <c r="B627" s="309" t="s">
        <v>559</v>
      </c>
      <c r="C627" s="352" t="s">
        <v>70</v>
      </c>
      <c r="D627" s="355">
        <v>0.17899999999999999</v>
      </c>
      <c r="E627" s="342">
        <f t="shared" si="31"/>
        <v>0.17899999999999999</v>
      </c>
      <c r="F627" s="342"/>
      <c r="G627" s="336">
        <v>74124698.582322836</v>
      </c>
      <c r="H627" s="336">
        <f t="shared" si="29"/>
        <v>13268321.046235787</v>
      </c>
      <c r="I627" s="336">
        <f t="shared" si="30"/>
        <v>13268321.046235787</v>
      </c>
      <c r="J627" s="336"/>
    </row>
    <row r="628" spans="1:10">
      <c r="A628" s="303">
        <v>88</v>
      </c>
      <c r="B628" s="309" t="s">
        <v>560</v>
      </c>
      <c r="C628" s="352" t="s">
        <v>320</v>
      </c>
      <c r="D628" s="355">
        <v>0.44600000000000001</v>
      </c>
      <c r="E628" s="342">
        <f t="shared" si="31"/>
        <v>0.44600000000000001</v>
      </c>
      <c r="F628" s="342"/>
      <c r="G628" s="336">
        <v>19451475.52634649</v>
      </c>
      <c r="H628" s="336">
        <f t="shared" si="29"/>
        <v>8675358.084750535</v>
      </c>
      <c r="I628" s="336">
        <f t="shared" si="30"/>
        <v>8675358.084750535</v>
      </c>
      <c r="J628" s="336"/>
    </row>
    <row r="629" spans="1:10">
      <c r="A629" s="303">
        <v>89</v>
      </c>
      <c r="B629" s="309" t="s">
        <v>420</v>
      </c>
      <c r="C629" s="352" t="s">
        <v>320</v>
      </c>
      <c r="D629" s="355">
        <v>2.2719999999999998</v>
      </c>
      <c r="E629" s="342">
        <f t="shared" si="31"/>
        <v>2.2719999999999998</v>
      </c>
      <c r="F629" s="342"/>
      <c r="G629" s="336">
        <v>19341236.714466874</v>
      </c>
      <c r="H629" s="336">
        <f t="shared" si="29"/>
        <v>43943289.815268733</v>
      </c>
      <c r="I629" s="336">
        <f t="shared" si="30"/>
        <v>43943289.815268733</v>
      </c>
      <c r="J629" s="336"/>
    </row>
    <row r="630" spans="1:10" ht="33">
      <c r="A630" s="303">
        <v>90</v>
      </c>
      <c r="B630" s="307" t="s">
        <v>415</v>
      </c>
      <c r="C630" s="352" t="s">
        <v>320</v>
      </c>
      <c r="D630" s="355">
        <v>1.448</v>
      </c>
      <c r="E630" s="342">
        <f t="shared" si="31"/>
        <v>1.448</v>
      </c>
      <c r="F630" s="342"/>
      <c r="G630" s="336">
        <v>2997242.3936378886</v>
      </c>
      <c r="H630" s="336">
        <f t="shared" si="29"/>
        <v>4340006.9859876623</v>
      </c>
      <c r="I630" s="336">
        <f t="shared" si="30"/>
        <v>4340006.9859876623</v>
      </c>
      <c r="J630" s="336"/>
    </row>
    <row r="631" spans="1:10">
      <c r="A631" s="303">
        <v>91</v>
      </c>
      <c r="B631" s="307" t="s">
        <v>346</v>
      </c>
      <c r="C631" s="352" t="s">
        <v>321</v>
      </c>
      <c r="D631" s="355">
        <v>0.502</v>
      </c>
      <c r="E631" s="342">
        <f t="shared" si="31"/>
        <v>0.502</v>
      </c>
      <c r="F631" s="342"/>
      <c r="G631" s="336">
        <v>731754.59304715903</v>
      </c>
      <c r="H631" s="336">
        <f t="shared" si="29"/>
        <v>367340.80570967385</v>
      </c>
      <c r="I631" s="336">
        <f t="shared" si="30"/>
        <v>367340.80570967385</v>
      </c>
      <c r="J631" s="336"/>
    </row>
    <row r="632" spans="1:10">
      <c r="A632" s="303">
        <v>92</v>
      </c>
      <c r="B632" s="307" t="s">
        <v>561</v>
      </c>
      <c r="C632" s="352" t="s">
        <v>67</v>
      </c>
      <c r="D632" s="355">
        <v>2.0209999999999999</v>
      </c>
      <c r="E632" s="342">
        <f t="shared" si="31"/>
        <v>2.0209999999999999</v>
      </c>
      <c r="F632" s="342"/>
      <c r="G632" s="336">
        <v>160062.81179567799</v>
      </c>
      <c r="H632" s="336">
        <f t="shared" si="29"/>
        <v>323486.94263906521</v>
      </c>
      <c r="I632" s="336">
        <f t="shared" si="30"/>
        <v>323486.94263906521</v>
      </c>
      <c r="J632" s="336"/>
    </row>
    <row r="633" spans="1:10">
      <c r="A633" s="303">
        <v>93</v>
      </c>
      <c r="B633" s="309" t="s">
        <v>413</v>
      </c>
      <c r="C633" s="352" t="s">
        <v>323</v>
      </c>
      <c r="D633" s="355">
        <v>2.2200000000000002</v>
      </c>
      <c r="E633" s="342">
        <f t="shared" si="31"/>
        <v>2.2200000000000002</v>
      </c>
      <c r="F633" s="342"/>
      <c r="G633" s="336">
        <v>2189987.3535037301</v>
      </c>
      <c r="H633" s="336">
        <f t="shared" si="29"/>
        <v>4861771.9247782817</v>
      </c>
      <c r="I633" s="336">
        <f t="shared" si="30"/>
        <v>4861771.9247782817</v>
      </c>
      <c r="J633" s="336"/>
    </row>
    <row r="634" spans="1:10">
      <c r="A634" s="303">
        <v>94</v>
      </c>
      <c r="B634" s="309" t="s">
        <v>416</v>
      </c>
      <c r="C634" s="352" t="s">
        <v>326</v>
      </c>
      <c r="D634" s="355">
        <v>19.52</v>
      </c>
      <c r="E634" s="342">
        <f t="shared" si="31"/>
        <v>19.52</v>
      </c>
      <c r="F634" s="342"/>
      <c r="G634" s="336">
        <v>807419.050136226</v>
      </c>
      <c r="H634" s="336">
        <f t="shared" si="29"/>
        <v>15760819.858659131</v>
      </c>
      <c r="I634" s="336">
        <f t="shared" si="30"/>
        <v>15760819.858659131</v>
      </c>
      <c r="J634" s="336"/>
    </row>
    <row r="635" spans="1:10">
      <c r="A635" s="303">
        <v>95</v>
      </c>
      <c r="B635" s="309" t="s">
        <v>396</v>
      </c>
      <c r="C635" s="352" t="s">
        <v>325</v>
      </c>
      <c r="D635" s="355">
        <v>0.89300000000000002</v>
      </c>
      <c r="E635" s="342">
        <f t="shared" si="31"/>
        <v>0.89300000000000002</v>
      </c>
      <c r="F635" s="342"/>
      <c r="G635" s="336">
        <v>2389507.7110639899</v>
      </c>
      <c r="H635" s="336">
        <f t="shared" si="29"/>
        <v>2133830.3859801432</v>
      </c>
      <c r="I635" s="336">
        <f t="shared" si="30"/>
        <v>2133830.3859801432</v>
      </c>
      <c r="J635" s="336"/>
    </row>
    <row r="636" spans="1:10">
      <c r="A636" s="303">
        <v>96</v>
      </c>
      <c r="B636" s="309" t="s">
        <v>353</v>
      </c>
      <c r="C636" s="352" t="s">
        <v>325</v>
      </c>
      <c r="D636" s="355">
        <v>0.27900000000000003</v>
      </c>
      <c r="E636" s="342">
        <f t="shared" si="31"/>
        <v>0.27900000000000003</v>
      </c>
      <c r="F636" s="342"/>
      <c r="G636" s="336">
        <v>636406.25898883003</v>
      </c>
      <c r="H636" s="336">
        <f t="shared" si="29"/>
        <v>177557.34625788359</v>
      </c>
      <c r="I636" s="336">
        <f t="shared" si="30"/>
        <v>177557.34625788359</v>
      </c>
      <c r="J636" s="336"/>
    </row>
    <row r="637" spans="1:10">
      <c r="A637" s="303"/>
      <c r="B637" s="315" t="s">
        <v>721</v>
      </c>
      <c r="C637" s="352"/>
      <c r="D637" s="355">
        <v>0</v>
      </c>
      <c r="E637" s="342">
        <f t="shared" si="31"/>
        <v>0</v>
      </c>
      <c r="F637" s="342"/>
      <c r="G637" s="336">
        <v>0</v>
      </c>
      <c r="H637" s="336">
        <f t="shared" si="29"/>
        <v>0</v>
      </c>
      <c r="I637" s="336">
        <f t="shared" si="30"/>
        <v>0</v>
      </c>
      <c r="J637" s="336"/>
    </row>
    <row r="638" spans="1:10">
      <c r="A638" s="303">
        <v>97</v>
      </c>
      <c r="B638" s="307" t="s">
        <v>424</v>
      </c>
      <c r="C638" s="352" t="s">
        <v>328</v>
      </c>
      <c r="D638" s="355">
        <v>4.76</v>
      </c>
      <c r="E638" s="342">
        <f t="shared" si="31"/>
        <v>4.76</v>
      </c>
      <c r="F638" s="342"/>
      <c r="G638" s="336">
        <v>2005171.5633173073</v>
      </c>
      <c r="H638" s="336">
        <f t="shared" si="29"/>
        <v>9544616.6413903814</v>
      </c>
      <c r="I638" s="336">
        <f t="shared" si="30"/>
        <v>9544616.6413903814</v>
      </c>
      <c r="J638" s="336"/>
    </row>
    <row r="639" spans="1:10">
      <c r="A639" s="303">
        <v>98</v>
      </c>
      <c r="B639" s="307" t="s">
        <v>402</v>
      </c>
      <c r="C639" s="352" t="s">
        <v>331</v>
      </c>
      <c r="D639" s="355">
        <v>12</v>
      </c>
      <c r="E639" s="342">
        <f t="shared" si="31"/>
        <v>12</v>
      </c>
      <c r="F639" s="342"/>
      <c r="G639" s="336">
        <v>61715.820088263004</v>
      </c>
      <c r="H639" s="336">
        <f t="shared" si="29"/>
        <v>740589.841059156</v>
      </c>
      <c r="I639" s="336">
        <f t="shared" si="30"/>
        <v>740589.841059156</v>
      </c>
      <c r="J639" s="336"/>
    </row>
    <row r="640" spans="1:10">
      <c r="A640" s="303">
        <v>99</v>
      </c>
      <c r="B640" s="309" t="s">
        <v>425</v>
      </c>
      <c r="C640" s="352" t="s">
        <v>331</v>
      </c>
      <c r="D640" s="355">
        <v>91.61</v>
      </c>
      <c r="E640" s="342">
        <f t="shared" si="31"/>
        <v>91.61</v>
      </c>
      <c r="F640" s="342"/>
      <c r="G640" s="336">
        <v>155106.01099133803</v>
      </c>
      <c r="H640" s="336">
        <f t="shared" si="29"/>
        <v>14209261.666916477</v>
      </c>
      <c r="I640" s="336">
        <f t="shared" si="30"/>
        <v>14209261.666916477</v>
      </c>
      <c r="J640" s="336"/>
    </row>
    <row r="641" spans="1:10">
      <c r="A641" s="303">
        <v>100</v>
      </c>
      <c r="B641" s="309" t="s">
        <v>426</v>
      </c>
      <c r="C641" s="352" t="s">
        <v>323</v>
      </c>
      <c r="D641" s="355">
        <v>61.31</v>
      </c>
      <c r="E641" s="342">
        <f t="shared" si="31"/>
        <v>61.31</v>
      </c>
      <c r="F641" s="342"/>
      <c r="G641" s="336">
        <v>1913905.107270387</v>
      </c>
      <c r="H641" s="336">
        <f t="shared" si="29"/>
        <v>117341522.12674743</v>
      </c>
      <c r="I641" s="336">
        <f t="shared" si="30"/>
        <v>117341522.12674743</v>
      </c>
      <c r="J641" s="336"/>
    </row>
    <row r="642" spans="1:10">
      <c r="A642" s="303">
        <v>101</v>
      </c>
      <c r="B642" s="309" t="s">
        <v>427</v>
      </c>
      <c r="C642" s="352" t="s">
        <v>323</v>
      </c>
      <c r="D642" s="355">
        <v>2.81</v>
      </c>
      <c r="E642" s="342">
        <f t="shared" si="31"/>
        <v>2.81</v>
      </c>
      <c r="F642" s="342"/>
      <c r="G642" s="336">
        <v>2075012.3269724092</v>
      </c>
      <c r="H642" s="336">
        <f t="shared" si="29"/>
        <v>5830784.6387924701</v>
      </c>
      <c r="I642" s="336">
        <f t="shared" si="30"/>
        <v>5830784.6387924701</v>
      </c>
      <c r="J642" s="336"/>
    </row>
    <row r="643" spans="1:10">
      <c r="A643" s="303">
        <v>102</v>
      </c>
      <c r="B643" s="309" t="s">
        <v>428</v>
      </c>
      <c r="C643" s="352" t="s">
        <v>325</v>
      </c>
      <c r="D643" s="355">
        <v>1.3180000000000001</v>
      </c>
      <c r="E643" s="342">
        <f t="shared" si="31"/>
        <v>1.3180000000000001</v>
      </c>
      <c r="F643" s="342"/>
      <c r="G643" s="336">
        <v>7108481.6021530079</v>
      </c>
      <c r="H643" s="336">
        <f t="shared" si="29"/>
        <v>9368978.7516376656</v>
      </c>
      <c r="I643" s="336">
        <f t="shared" si="30"/>
        <v>9368978.7516376656</v>
      </c>
      <c r="J643" s="336"/>
    </row>
    <row r="644" spans="1:10">
      <c r="A644" s="303">
        <v>103</v>
      </c>
      <c r="B644" s="307" t="s">
        <v>429</v>
      </c>
      <c r="C644" s="352" t="s">
        <v>329</v>
      </c>
      <c r="D644" s="355">
        <v>0.32200000000000001</v>
      </c>
      <c r="E644" s="342">
        <f t="shared" si="31"/>
        <v>0.32200000000000001</v>
      </c>
      <c r="F644" s="342"/>
      <c r="G644" s="336">
        <v>4683274.2184133623</v>
      </c>
      <c r="H644" s="336">
        <f t="shared" si="29"/>
        <v>1508014.2983291028</v>
      </c>
      <c r="I644" s="336">
        <f t="shared" si="30"/>
        <v>1508014.2983291028</v>
      </c>
      <c r="J644" s="336"/>
    </row>
    <row r="645" spans="1:10">
      <c r="A645" s="303">
        <v>104</v>
      </c>
      <c r="B645" s="309" t="s">
        <v>430</v>
      </c>
      <c r="C645" s="352" t="s">
        <v>504</v>
      </c>
      <c r="D645" s="355">
        <v>0.21099999999999999</v>
      </c>
      <c r="E645" s="342">
        <f t="shared" si="31"/>
        <v>0.21099999999999999</v>
      </c>
      <c r="F645" s="342"/>
      <c r="G645" s="336">
        <v>25295809.643405579</v>
      </c>
      <c r="H645" s="336">
        <f t="shared" si="29"/>
        <v>5337415.8347585769</v>
      </c>
      <c r="I645" s="336">
        <f t="shared" si="30"/>
        <v>5337415.8347585769</v>
      </c>
      <c r="J645" s="336"/>
    </row>
    <row r="646" spans="1:10">
      <c r="A646" s="303">
        <v>105</v>
      </c>
      <c r="B646" s="309" t="s">
        <v>431</v>
      </c>
      <c r="C646" s="352" t="s">
        <v>67</v>
      </c>
      <c r="D646" s="355">
        <v>0.30399999999999999</v>
      </c>
      <c r="E646" s="342">
        <f t="shared" si="31"/>
        <v>0.30399999999999999</v>
      </c>
      <c r="F646" s="342"/>
      <c r="G646" s="336">
        <v>5558074.4905193755</v>
      </c>
      <c r="H646" s="336">
        <f t="shared" si="29"/>
        <v>1689654.6451178901</v>
      </c>
      <c r="I646" s="336">
        <f t="shared" si="30"/>
        <v>1689654.6451178901</v>
      </c>
      <c r="J646" s="336"/>
    </row>
    <row r="647" spans="1:10">
      <c r="A647" s="305"/>
      <c r="B647" s="312" t="s">
        <v>450</v>
      </c>
      <c r="C647" s="372"/>
      <c r="D647" s="355">
        <v>0</v>
      </c>
      <c r="E647" s="342">
        <f t="shared" si="31"/>
        <v>0</v>
      </c>
      <c r="F647" s="342"/>
      <c r="G647" s="336">
        <v>0</v>
      </c>
      <c r="H647" s="336">
        <f t="shared" si="29"/>
        <v>0</v>
      </c>
      <c r="I647" s="336">
        <f t="shared" si="30"/>
        <v>0</v>
      </c>
      <c r="J647" s="336"/>
    </row>
    <row r="648" spans="1:10">
      <c r="A648" s="303">
        <v>106</v>
      </c>
      <c r="B648" s="309" t="s">
        <v>417</v>
      </c>
      <c r="C648" s="352" t="s">
        <v>323</v>
      </c>
      <c r="D648" s="355">
        <v>0.19</v>
      </c>
      <c r="E648" s="342">
        <f t="shared" si="31"/>
        <v>0.19</v>
      </c>
      <c r="F648" s="342"/>
      <c r="G648" s="336">
        <v>1843516.7108116439</v>
      </c>
      <c r="H648" s="336">
        <f t="shared" si="29"/>
        <v>350268.17505421233</v>
      </c>
      <c r="I648" s="336">
        <f t="shared" si="30"/>
        <v>350268.17505421233</v>
      </c>
      <c r="J648" s="336"/>
    </row>
    <row r="649" spans="1:10">
      <c r="A649" s="303">
        <v>107</v>
      </c>
      <c r="B649" s="309" t="s">
        <v>401</v>
      </c>
      <c r="C649" s="352" t="s">
        <v>106</v>
      </c>
      <c r="D649" s="355">
        <v>0.05</v>
      </c>
      <c r="E649" s="342">
        <f t="shared" si="31"/>
        <v>0.05</v>
      </c>
      <c r="F649" s="342"/>
      <c r="G649" s="336">
        <v>3027931.0010723178</v>
      </c>
      <c r="H649" s="336">
        <f t="shared" si="29"/>
        <v>151396.55005361591</v>
      </c>
      <c r="I649" s="336">
        <f t="shared" si="30"/>
        <v>151396.55005361591</v>
      </c>
      <c r="J649" s="336"/>
    </row>
    <row r="650" spans="1:10">
      <c r="A650" s="303">
        <v>108</v>
      </c>
      <c r="B650" s="309" t="s">
        <v>418</v>
      </c>
      <c r="C650" s="352" t="s">
        <v>509</v>
      </c>
      <c r="D650" s="355">
        <v>2</v>
      </c>
      <c r="E650" s="342">
        <f t="shared" si="31"/>
        <v>2</v>
      </c>
      <c r="F650" s="342"/>
      <c r="G650" s="336">
        <v>608345.70500000007</v>
      </c>
      <c r="H650" s="336">
        <f t="shared" si="29"/>
        <v>1216691.4100000001</v>
      </c>
      <c r="I650" s="336">
        <f t="shared" si="30"/>
        <v>1216691.4100000001</v>
      </c>
      <c r="J650" s="336"/>
    </row>
    <row r="651" spans="1:10">
      <c r="A651" s="303">
        <v>109</v>
      </c>
      <c r="B651" s="309" t="s">
        <v>419</v>
      </c>
      <c r="C651" s="352" t="s">
        <v>504</v>
      </c>
      <c r="D651" s="355">
        <v>1.2E-2</v>
      </c>
      <c r="E651" s="342">
        <f t="shared" si="31"/>
        <v>1.2E-2</v>
      </c>
      <c r="F651" s="342"/>
      <c r="G651" s="336">
        <v>90229834.965600014</v>
      </c>
      <c r="H651" s="336">
        <f t="shared" si="29"/>
        <v>1082758.0195872001</v>
      </c>
      <c r="I651" s="336">
        <f t="shared" si="30"/>
        <v>1082758.0195872001</v>
      </c>
      <c r="J651" s="336"/>
    </row>
    <row r="652" spans="1:10">
      <c r="A652" s="303">
        <v>110</v>
      </c>
      <c r="B652" s="309" t="s">
        <v>420</v>
      </c>
      <c r="C652" s="352" t="s">
        <v>320</v>
      </c>
      <c r="D652" s="355">
        <v>0.83899999999999997</v>
      </c>
      <c r="E652" s="342">
        <f t="shared" si="31"/>
        <v>0.83899999999999997</v>
      </c>
      <c r="F652" s="342"/>
      <c r="G652" s="336">
        <v>19341236.714466874</v>
      </c>
      <c r="H652" s="336">
        <f t="shared" si="29"/>
        <v>16227297.603437707</v>
      </c>
      <c r="I652" s="336">
        <f t="shared" si="30"/>
        <v>16227297.603437707</v>
      </c>
      <c r="J652" s="336"/>
    </row>
    <row r="653" spans="1:10">
      <c r="A653" s="303">
        <v>111</v>
      </c>
      <c r="B653" s="307" t="s">
        <v>421</v>
      </c>
      <c r="C653" s="352" t="s">
        <v>321</v>
      </c>
      <c r="D653" s="355">
        <v>0.28100000000000003</v>
      </c>
      <c r="E653" s="342">
        <f t="shared" si="31"/>
        <v>0.28100000000000003</v>
      </c>
      <c r="F653" s="342"/>
      <c r="G653" s="336">
        <v>1235604.0262844632</v>
      </c>
      <c r="H653" s="336">
        <f t="shared" si="29"/>
        <v>347204.73138593422</v>
      </c>
      <c r="I653" s="336">
        <f t="shared" si="30"/>
        <v>347204.73138593422</v>
      </c>
      <c r="J653" s="336"/>
    </row>
    <row r="654" spans="1:10" ht="33">
      <c r="A654" s="303">
        <v>112</v>
      </c>
      <c r="B654" s="307" t="s">
        <v>386</v>
      </c>
      <c r="C654" s="352" t="s">
        <v>321</v>
      </c>
      <c r="D654" s="355">
        <v>0.309</v>
      </c>
      <c r="E654" s="342">
        <f t="shared" si="31"/>
        <v>0.309</v>
      </c>
      <c r="F654" s="342"/>
      <c r="G654" s="336">
        <v>869256.05268892506</v>
      </c>
      <c r="H654" s="336">
        <f t="shared" si="29"/>
        <v>268600.12028087786</v>
      </c>
      <c r="I654" s="336">
        <f t="shared" si="30"/>
        <v>268600.12028087786</v>
      </c>
      <c r="J654" s="336"/>
    </row>
    <row r="655" spans="1:10">
      <c r="A655" s="303">
        <v>113</v>
      </c>
      <c r="B655" s="307" t="s">
        <v>422</v>
      </c>
      <c r="C655" s="352" t="s">
        <v>321</v>
      </c>
      <c r="D655" s="355">
        <v>0.309</v>
      </c>
      <c r="E655" s="342">
        <f t="shared" si="31"/>
        <v>0.309</v>
      </c>
      <c r="F655" s="342"/>
      <c r="G655" s="336">
        <v>1014042.817155489</v>
      </c>
      <c r="H655" s="336">
        <f t="shared" si="29"/>
        <v>313339.23050104611</v>
      </c>
      <c r="I655" s="336">
        <f t="shared" si="30"/>
        <v>313339.23050104611</v>
      </c>
      <c r="J655" s="336"/>
    </row>
    <row r="656" spans="1:10">
      <c r="A656" s="303">
        <v>114</v>
      </c>
      <c r="B656" s="307" t="s">
        <v>423</v>
      </c>
      <c r="C656" s="352"/>
      <c r="D656" s="340">
        <v>0</v>
      </c>
      <c r="E656" s="342">
        <f t="shared" si="31"/>
        <v>0</v>
      </c>
      <c r="F656" s="342"/>
      <c r="G656" s="336"/>
      <c r="H656" s="336">
        <f t="shared" ref="H656:H719" si="32">D656*G656</f>
        <v>0</v>
      </c>
      <c r="I656" s="336">
        <f t="shared" ref="I656:I719" si="33">E656*G656</f>
        <v>0</v>
      </c>
      <c r="J656" s="336"/>
    </row>
    <row r="657" spans="1:10">
      <c r="A657" s="303"/>
      <c r="B657" s="312" t="s">
        <v>720</v>
      </c>
      <c r="C657" s="352"/>
      <c r="D657" s="340">
        <v>0</v>
      </c>
      <c r="E657" s="342">
        <f t="shared" ref="E657:E720" si="34">D657</f>
        <v>0</v>
      </c>
      <c r="F657" s="342"/>
      <c r="G657" s="336"/>
      <c r="H657" s="336">
        <f t="shared" si="32"/>
        <v>0</v>
      </c>
      <c r="I657" s="336">
        <f t="shared" si="33"/>
        <v>0</v>
      </c>
      <c r="J657" s="336"/>
    </row>
    <row r="658" spans="1:10">
      <c r="A658" s="303">
        <v>115</v>
      </c>
      <c r="B658" s="309" t="s">
        <v>359</v>
      </c>
      <c r="C658" s="352" t="s">
        <v>323</v>
      </c>
      <c r="D658" s="355">
        <v>0.9</v>
      </c>
      <c r="E658" s="342">
        <f t="shared" si="34"/>
        <v>0.9</v>
      </c>
      <c r="F658" s="342"/>
      <c r="G658" s="336">
        <v>1843516.7108116439</v>
      </c>
      <c r="H658" s="336">
        <f t="shared" si="32"/>
        <v>1659165.0397304795</v>
      </c>
      <c r="I658" s="336">
        <f t="shared" si="33"/>
        <v>1659165.0397304795</v>
      </c>
      <c r="J658" s="336"/>
    </row>
    <row r="659" spans="1:10">
      <c r="A659" s="303">
        <v>116</v>
      </c>
      <c r="B659" s="309" t="s">
        <v>360</v>
      </c>
      <c r="C659" s="352" t="s">
        <v>323</v>
      </c>
      <c r="D659" s="355">
        <v>0.4</v>
      </c>
      <c r="E659" s="342">
        <f t="shared" si="34"/>
        <v>0.4</v>
      </c>
      <c r="F659" s="342"/>
      <c r="G659" s="336">
        <v>1760696.5265329438</v>
      </c>
      <c r="H659" s="336">
        <f t="shared" si="32"/>
        <v>704278.61061317753</v>
      </c>
      <c r="I659" s="336">
        <f t="shared" si="33"/>
        <v>704278.61061317753</v>
      </c>
      <c r="J659" s="336"/>
    </row>
    <row r="660" spans="1:10">
      <c r="A660" s="303">
        <v>117</v>
      </c>
      <c r="B660" s="307" t="s">
        <v>402</v>
      </c>
      <c r="C660" s="352" t="s">
        <v>331</v>
      </c>
      <c r="D660" s="355">
        <v>3.3330000000000002</v>
      </c>
      <c r="E660" s="342">
        <f t="shared" si="34"/>
        <v>3.3330000000000002</v>
      </c>
      <c r="F660" s="342"/>
      <c r="G660" s="336">
        <v>61715.820088263004</v>
      </c>
      <c r="H660" s="336">
        <f t="shared" si="32"/>
        <v>205698.82835418062</v>
      </c>
      <c r="I660" s="336">
        <f t="shared" si="33"/>
        <v>205698.82835418062</v>
      </c>
      <c r="J660" s="336"/>
    </row>
    <row r="661" spans="1:10">
      <c r="A661" s="303">
        <v>118</v>
      </c>
      <c r="B661" s="307" t="s">
        <v>566</v>
      </c>
      <c r="C661" s="352" t="s">
        <v>567</v>
      </c>
      <c r="D661" s="355">
        <v>20</v>
      </c>
      <c r="E661" s="342">
        <f t="shared" si="34"/>
        <v>20</v>
      </c>
      <c r="F661" s="342"/>
      <c r="G661" s="336">
        <v>16110.089290669001</v>
      </c>
      <c r="H661" s="336">
        <f t="shared" si="32"/>
        <v>322201.78581338003</v>
      </c>
      <c r="I661" s="336">
        <f t="shared" si="33"/>
        <v>322201.78581338003</v>
      </c>
      <c r="J661" s="336"/>
    </row>
    <row r="662" spans="1:10">
      <c r="A662" s="303">
        <v>119</v>
      </c>
      <c r="B662" s="309" t="s">
        <v>568</v>
      </c>
      <c r="C662" s="352" t="s">
        <v>569</v>
      </c>
      <c r="D662" s="355">
        <v>12</v>
      </c>
      <c r="E662" s="342">
        <f t="shared" si="34"/>
        <v>12</v>
      </c>
      <c r="F662" s="342"/>
      <c r="G662" s="336">
        <v>635997.81568249292</v>
      </c>
      <c r="H662" s="336">
        <f t="shared" si="32"/>
        <v>7631973.788189915</v>
      </c>
      <c r="I662" s="336">
        <f t="shared" si="33"/>
        <v>7631973.788189915</v>
      </c>
      <c r="J662" s="336"/>
    </row>
    <row r="663" spans="1:10">
      <c r="A663" s="303">
        <v>120</v>
      </c>
      <c r="B663" s="309" t="s">
        <v>570</v>
      </c>
      <c r="C663" s="352" t="s">
        <v>509</v>
      </c>
      <c r="D663" s="355">
        <v>16</v>
      </c>
      <c r="E663" s="342">
        <f t="shared" si="34"/>
        <v>16</v>
      </c>
      <c r="F663" s="342"/>
      <c r="G663" s="336">
        <v>445808.99456036906</v>
      </c>
      <c r="H663" s="336">
        <f t="shared" si="32"/>
        <v>7132943.9129659049</v>
      </c>
      <c r="I663" s="336">
        <f t="shared" si="33"/>
        <v>7132943.9129659049</v>
      </c>
      <c r="J663" s="336"/>
    </row>
    <row r="664" spans="1:10">
      <c r="A664" s="303">
        <v>121</v>
      </c>
      <c r="B664" s="309" t="s">
        <v>571</v>
      </c>
      <c r="C664" s="352" t="s">
        <v>509</v>
      </c>
      <c r="D664" s="355">
        <v>16</v>
      </c>
      <c r="E664" s="342">
        <f t="shared" si="34"/>
        <v>16</v>
      </c>
      <c r="F664" s="342"/>
      <c r="G664" s="336">
        <v>74875.189371400003</v>
      </c>
      <c r="H664" s="336">
        <f t="shared" si="32"/>
        <v>1198003.0299424001</v>
      </c>
      <c r="I664" s="336">
        <f t="shared" si="33"/>
        <v>1198003.0299424001</v>
      </c>
      <c r="J664" s="336"/>
    </row>
    <row r="665" spans="1:10">
      <c r="A665" s="303">
        <v>122</v>
      </c>
      <c r="B665" s="309" t="s">
        <v>572</v>
      </c>
      <c r="C665" s="352" t="s">
        <v>569</v>
      </c>
      <c r="D665" s="355">
        <v>8</v>
      </c>
      <c r="E665" s="342">
        <f t="shared" si="34"/>
        <v>8</v>
      </c>
      <c r="F665" s="342"/>
      <c r="G665" s="336">
        <v>198411.34334004502</v>
      </c>
      <c r="H665" s="336">
        <f t="shared" si="32"/>
        <v>1587290.7467203601</v>
      </c>
      <c r="I665" s="336">
        <f t="shared" si="33"/>
        <v>1587290.7467203601</v>
      </c>
      <c r="J665" s="336"/>
    </row>
    <row r="666" spans="1:10">
      <c r="A666" s="303">
        <v>123</v>
      </c>
      <c r="B666" s="309" t="s">
        <v>573</v>
      </c>
      <c r="C666" s="352" t="s">
        <v>574</v>
      </c>
      <c r="D666" s="355">
        <v>16</v>
      </c>
      <c r="E666" s="342">
        <f t="shared" si="34"/>
        <v>16</v>
      </c>
      <c r="F666" s="342"/>
      <c r="G666" s="336">
        <v>30562.193196930999</v>
      </c>
      <c r="H666" s="336">
        <f t="shared" si="32"/>
        <v>488995.09115089598</v>
      </c>
      <c r="I666" s="336">
        <f t="shared" si="33"/>
        <v>488995.09115089598</v>
      </c>
      <c r="J666" s="336"/>
    </row>
    <row r="667" spans="1:10">
      <c r="A667" s="303">
        <v>124</v>
      </c>
      <c r="B667" s="309" t="s">
        <v>575</v>
      </c>
      <c r="C667" s="352" t="s">
        <v>574</v>
      </c>
      <c r="D667" s="355">
        <v>128</v>
      </c>
      <c r="E667" s="342">
        <f t="shared" si="34"/>
        <v>128</v>
      </c>
      <c r="F667" s="342"/>
      <c r="G667" s="336">
        <v>4473.0442997240007</v>
      </c>
      <c r="H667" s="336">
        <f t="shared" si="32"/>
        <v>572549.67036467209</v>
      </c>
      <c r="I667" s="336">
        <f t="shared" si="33"/>
        <v>572549.67036467209</v>
      </c>
      <c r="J667" s="336"/>
    </row>
    <row r="668" spans="1:10">
      <c r="A668" s="303">
        <v>125</v>
      </c>
      <c r="B668" s="309" t="s">
        <v>576</v>
      </c>
      <c r="C668" s="352" t="s">
        <v>577</v>
      </c>
      <c r="D668" s="355">
        <v>16</v>
      </c>
      <c r="E668" s="342">
        <f t="shared" si="34"/>
        <v>16</v>
      </c>
      <c r="F668" s="342"/>
      <c r="G668" s="336">
        <v>58659.612935484001</v>
      </c>
      <c r="H668" s="336">
        <f t="shared" si="32"/>
        <v>938553.80696774402</v>
      </c>
      <c r="I668" s="336">
        <f t="shared" si="33"/>
        <v>938553.80696774402</v>
      </c>
      <c r="J668" s="336"/>
    </row>
    <row r="669" spans="1:10">
      <c r="A669" s="303">
        <v>126</v>
      </c>
      <c r="B669" s="309" t="s">
        <v>361</v>
      </c>
      <c r="C669" s="352" t="s">
        <v>67</v>
      </c>
      <c r="D669" s="355">
        <v>0.17899999999999999</v>
      </c>
      <c r="E669" s="342">
        <f t="shared" si="34"/>
        <v>0.17899999999999999</v>
      </c>
      <c r="F669" s="342"/>
      <c r="G669" s="336">
        <v>4683274.2184133623</v>
      </c>
      <c r="H669" s="336">
        <f t="shared" si="32"/>
        <v>838306.08509599185</v>
      </c>
      <c r="I669" s="336">
        <f t="shared" si="33"/>
        <v>838306.08509599185</v>
      </c>
      <c r="J669" s="336"/>
    </row>
    <row r="670" spans="1:10">
      <c r="A670" s="314"/>
      <c r="B670" s="312" t="s">
        <v>580</v>
      </c>
      <c r="C670" s="368" t="s">
        <v>318</v>
      </c>
      <c r="D670" s="355">
        <v>0</v>
      </c>
      <c r="E670" s="342">
        <f t="shared" si="34"/>
        <v>0</v>
      </c>
      <c r="F670" s="342"/>
      <c r="G670" s="336">
        <v>0</v>
      </c>
      <c r="H670" s="336">
        <f t="shared" si="32"/>
        <v>0</v>
      </c>
      <c r="I670" s="336">
        <f t="shared" si="33"/>
        <v>0</v>
      </c>
      <c r="J670" s="336"/>
    </row>
    <row r="671" spans="1:10" ht="33">
      <c r="A671" s="305">
        <v>127</v>
      </c>
      <c r="B671" s="309" t="s">
        <v>439</v>
      </c>
      <c r="C671" s="352" t="s">
        <v>323</v>
      </c>
      <c r="D671" s="355">
        <v>19.100000000000001</v>
      </c>
      <c r="E671" s="342">
        <f t="shared" si="34"/>
        <v>19.100000000000001</v>
      </c>
      <c r="F671" s="342"/>
      <c r="G671" s="336">
        <v>1925346.7504041949</v>
      </c>
      <c r="H671" s="336">
        <f t="shared" si="32"/>
        <v>36774122.932720125</v>
      </c>
      <c r="I671" s="336">
        <f t="shared" si="33"/>
        <v>36774122.932720125</v>
      </c>
      <c r="J671" s="336"/>
    </row>
    <row r="672" spans="1:10" ht="33">
      <c r="A672" s="305">
        <v>128</v>
      </c>
      <c r="B672" s="309" t="s">
        <v>397</v>
      </c>
      <c r="C672" s="352" t="s">
        <v>323</v>
      </c>
      <c r="D672" s="355">
        <v>3.55</v>
      </c>
      <c r="E672" s="342">
        <f t="shared" si="34"/>
        <v>3.55</v>
      </c>
      <c r="F672" s="342"/>
      <c r="G672" s="336">
        <v>2426266.6352811917</v>
      </c>
      <c r="H672" s="336">
        <f t="shared" si="32"/>
        <v>8613246.5552482307</v>
      </c>
      <c r="I672" s="336">
        <f t="shared" si="33"/>
        <v>8613246.5552482307</v>
      </c>
      <c r="J672" s="336"/>
    </row>
    <row r="673" spans="1:10">
      <c r="A673" s="305">
        <v>129</v>
      </c>
      <c r="B673" s="309" t="s">
        <v>388</v>
      </c>
      <c r="C673" s="352" t="s">
        <v>326</v>
      </c>
      <c r="D673" s="355">
        <v>23.216000000000001</v>
      </c>
      <c r="E673" s="342">
        <f t="shared" si="34"/>
        <v>23.216000000000001</v>
      </c>
      <c r="F673" s="342"/>
      <c r="G673" s="336">
        <v>30806.869839482002</v>
      </c>
      <c r="H673" s="336">
        <f t="shared" si="32"/>
        <v>715212.2901934142</v>
      </c>
      <c r="I673" s="336">
        <f t="shared" si="33"/>
        <v>715212.2901934142</v>
      </c>
      <c r="J673" s="336"/>
    </row>
    <row r="674" spans="1:10">
      <c r="A674" s="305">
        <v>130</v>
      </c>
      <c r="B674" s="309" t="s">
        <v>353</v>
      </c>
      <c r="C674" s="352" t="s">
        <v>325</v>
      </c>
      <c r="D674" s="355">
        <v>0.5</v>
      </c>
      <c r="E674" s="342">
        <f t="shared" si="34"/>
        <v>0.5</v>
      </c>
      <c r="F674" s="342"/>
      <c r="G674" s="336">
        <v>636406.25898883003</v>
      </c>
      <c r="H674" s="336">
        <f t="shared" si="32"/>
        <v>318203.12949441501</v>
      </c>
      <c r="I674" s="336">
        <f t="shared" si="33"/>
        <v>318203.12949441501</v>
      </c>
      <c r="J674" s="336"/>
    </row>
    <row r="675" spans="1:10">
      <c r="A675" s="305">
        <v>131</v>
      </c>
      <c r="B675" s="307" t="s">
        <v>402</v>
      </c>
      <c r="C675" s="352" t="s">
        <v>331</v>
      </c>
      <c r="D675" s="355">
        <v>127</v>
      </c>
      <c r="E675" s="342">
        <f t="shared" si="34"/>
        <v>127</v>
      </c>
      <c r="F675" s="342"/>
      <c r="G675" s="336">
        <v>61715.820088263004</v>
      </c>
      <c r="H675" s="336">
        <f t="shared" si="32"/>
        <v>7837909.1512094019</v>
      </c>
      <c r="I675" s="336">
        <f t="shared" si="33"/>
        <v>7837909.1512094019</v>
      </c>
      <c r="J675" s="336"/>
    </row>
    <row r="676" spans="1:10">
      <c r="A676" s="305">
        <v>132</v>
      </c>
      <c r="B676" s="307" t="s">
        <v>389</v>
      </c>
      <c r="C676" s="352" t="s">
        <v>328</v>
      </c>
      <c r="D676" s="355">
        <v>0.93</v>
      </c>
      <c r="E676" s="342">
        <f t="shared" si="34"/>
        <v>0.93</v>
      </c>
      <c r="F676" s="342"/>
      <c r="G676" s="336">
        <v>1453528.4231198058</v>
      </c>
      <c r="H676" s="336">
        <f t="shared" si="32"/>
        <v>1351781.4335014194</v>
      </c>
      <c r="I676" s="336">
        <f t="shared" si="33"/>
        <v>1351781.4335014194</v>
      </c>
      <c r="J676" s="336"/>
    </row>
    <row r="677" spans="1:10">
      <c r="A677" s="305">
        <v>133</v>
      </c>
      <c r="B677" s="309" t="s">
        <v>412</v>
      </c>
      <c r="C677" s="352" t="s">
        <v>504</v>
      </c>
      <c r="D677" s="355">
        <v>0.98899999999999999</v>
      </c>
      <c r="E677" s="342">
        <f t="shared" si="34"/>
        <v>0.98899999999999999</v>
      </c>
      <c r="F677" s="342"/>
      <c r="G677" s="336">
        <v>22970498.221207418</v>
      </c>
      <c r="H677" s="336">
        <f t="shared" si="32"/>
        <v>22717822.740774136</v>
      </c>
      <c r="I677" s="336">
        <f t="shared" si="33"/>
        <v>22717822.740774136</v>
      </c>
      <c r="J677" s="336"/>
    </row>
    <row r="678" spans="1:10">
      <c r="A678" s="305">
        <v>134</v>
      </c>
      <c r="B678" s="307" t="s">
        <v>350</v>
      </c>
      <c r="C678" s="352" t="s">
        <v>581</v>
      </c>
      <c r="D678" s="355">
        <v>32</v>
      </c>
      <c r="E678" s="342">
        <f t="shared" si="34"/>
        <v>32</v>
      </c>
      <c r="F678" s="342"/>
      <c r="G678" s="336">
        <v>3940155.8492659442</v>
      </c>
      <c r="H678" s="336">
        <f t="shared" si="32"/>
        <v>126084987.17651021</v>
      </c>
      <c r="I678" s="336">
        <f t="shared" si="33"/>
        <v>126084987.17651021</v>
      </c>
      <c r="J678" s="336"/>
    </row>
    <row r="679" spans="1:10">
      <c r="A679" s="305">
        <v>135</v>
      </c>
      <c r="B679" s="307" t="s">
        <v>442</v>
      </c>
      <c r="C679" s="352" t="s">
        <v>325</v>
      </c>
      <c r="D679" s="355">
        <v>4.8</v>
      </c>
      <c r="E679" s="342">
        <f t="shared" si="34"/>
        <v>4.8</v>
      </c>
      <c r="F679" s="342"/>
      <c r="G679" s="336">
        <v>3098548.0138470004</v>
      </c>
      <c r="H679" s="336">
        <f t="shared" si="32"/>
        <v>14873030.466465602</v>
      </c>
      <c r="I679" s="336">
        <f t="shared" si="33"/>
        <v>14873030.466465602</v>
      </c>
      <c r="J679" s="336"/>
    </row>
    <row r="680" spans="1:10">
      <c r="A680" s="305">
        <v>136</v>
      </c>
      <c r="B680" s="307" t="s">
        <v>348</v>
      </c>
      <c r="C680" s="352" t="s">
        <v>322</v>
      </c>
      <c r="D680" s="355">
        <v>9.6000000000000002E-2</v>
      </c>
      <c r="E680" s="342">
        <f t="shared" si="34"/>
        <v>9.6000000000000002E-2</v>
      </c>
      <c r="F680" s="342"/>
      <c r="G680" s="336">
        <v>81099718.991999239</v>
      </c>
      <c r="H680" s="336">
        <f t="shared" si="32"/>
        <v>7785573.0232319273</v>
      </c>
      <c r="I680" s="336">
        <f t="shared" si="33"/>
        <v>7785573.0232319273</v>
      </c>
      <c r="J680" s="336"/>
    </row>
    <row r="681" spans="1:10">
      <c r="A681" s="305">
        <v>137</v>
      </c>
      <c r="B681" s="309" t="s">
        <v>399</v>
      </c>
      <c r="C681" s="352" t="s">
        <v>323</v>
      </c>
      <c r="D681" s="355">
        <v>2.67</v>
      </c>
      <c r="E681" s="342">
        <f t="shared" si="34"/>
        <v>2.67</v>
      </c>
      <c r="F681" s="342"/>
      <c r="G681" s="336">
        <v>1179580.4969578851</v>
      </c>
      <c r="H681" s="336">
        <f t="shared" si="32"/>
        <v>3149479.9268775531</v>
      </c>
      <c r="I681" s="336">
        <f t="shared" si="33"/>
        <v>3149479.9268775531</v>
      </c>
      <c r="J681" s="336"/>
    </row>
    <row r="682" spans="1:10">
      <c r="A682" s="305">
        <v>138</v>
      </c>
      <c r="B682" s="309" t="s">
        <v>408</v>
      </c>
      <c r="C682" s="352" t="s">
        <v>106</v>
      </c>
      <c r="D682" s="355">
        <v>0.11899999999999999</v>
      </c>
      <c r="E682" s="342">
        <f t="shared" si="34"/>
        <v>0.11899999999999999</v>
      </c>
      <c r="F682" s="342"/>
      <c r="G682" s="336">
        <v>3027931.0010723178</v>
      </c>
      <c r="H682" s="336">
        <f t="shared" si="32"/>
        <v>360323.78912760579</v>
      </c>
      <c r="I682" s="336">
        <f t="shared" si="33"/>
        <v>360323.78912760579</v>
      </c>
      <c r="J682" s="336"/>
    </row>
    <row r="683" spans="1:10">
      <c r="A683" s="305">
        <v>139</v>
      </c>
      <c r="B683" s="309" t="s">
        <v>443</v>
      </c>
      <c r="C683" s="352" t="s">
        <v>67</v>
      </c>
      <c r="D683" s="355">
        <v>0.29099999999999998</v>
      </c>
      <c r="E683" s="342">
        <f t="shared" si="34"/>
        <v>0.29099999999999998</v>
      </c>
      <c r="F683" s="342"/>
      <c r="G683" s="336">
        <v>4424154.5971416747</v>
      </c>
      <c r="H683" s="336">
        <f t="shared" si="32"/>
        <v>1287428.9877682272</v>
      </c>
      <c r="I683" s="336">
        <f t="shared" si="33"/>
        <v>1287428.9877682272</v>
      </c>
      <c r="J683" s="336"/>
    </row>
    <row r="684" spans="1:10">
      <c r="A684" s="305">
        <v>140</v>
      </c>
      <c r="B684" s="309" t="s">
        <v>398</v>
      </c>
      <c r="C684" s="352" t="s">
        <v>67</v>
      </c>
      <c r="D684" s="355">
        <v>0.19600000000000001</v>
      </c>
      <c r="E684" s="342">
        <f t="shared" si="34"/>
        <v>0.19600000000000001</v>
      </c>
      <c r="F684" s="342"/>
      <c r="G684" s="336">
        <v>4424154.5971416747</v>
      </c>
      <c r="H684" s="336">
        <f t="shared" si="32"/>
        <v>867134.30103976827</v>
      </c>
      <c r="I684" s="336">
        <f t="shared" si="33"/>
        <v>867134.30103976827</v>
      </c>
      <c r="J684" s="336"/>
    </row>
    <row r="685" spans="1:10" ht="33">
      <c r="A685" s="305">
        <v>141</v>
      </c>
      <c r="B685" s="309" t="s">
        <v>615</v>
      </c>
      <c r="C685" s="352" t="s">
        <v>324</v>
      </c>
      <c r="D685" s="355">
        <v>9.5850000000000009</v>
      </c>
      <c r="E685" s="342">
        <f t="shared" si="34"/>
        <v>9.5850000000000009</v>
      </c>
      <c r="F685" s="342"/>
      <c r="G685" s="336">
        <v>1687918.3048066788</v>
      </c>
      <c r="H685" s="336">
        <f t="shared" si="32"/>
        <v>16178696.951572018</v>
      </c>
      <c r="I685" s="336">
        <f t="shared" si="33"/>
        <v>16178696.951572018</v>
      </c>
      <c r="J685" s="336"/>
    </row>
    <row r="686" spans="1:10">
      <c r="A686" s="311"/>
      <c r="B686" s="308" t="s">
        <v>578</v>
      </c>
      <c r="C686" s="352"/>
      <c r="D686" s="340">
        <v>0</v>
      </c>
      <c r="E686" s="342">
        <f t="shared" si="34"/>
        <v>0</v>
      </c>
      <c r="F686" s="342"/>
      <c r="G686" s="336"/>
      <c r="H686" s="336">
        <f t="shared" si="32"/>
        <v>0</v>
      </c>
      <c r="I686" s="336">
        <f t="shared" si="33"/>
        <v>0</v>
      </c>
      <c r="J686" s="336"/>
    </row>
    <row r="687" spans="1:10">
      <c r="A687" s="303">
        <v>142</v>
      </c>
      <c r="B687" s="309" t="s">
        <v>445</v>
      </c>
      <c r="C687" s="352" t="s">
        <v>579</v>
      </c>
      <c r="D687" s="355">
        <v>1E-3</v>
      </c>
      <c r="E687" s="342">
        <f t="shared" si="34"/>
        <v>1E-3</v>
      </c>
      <c r="F687" s="342"/>
      <c r="G687" s="336">
        <v>23642582.73910309</v>
      </c>
      <c r="H687" s="336">
        <f t="shared" si="32"/>
        <v>23642.582739103091</v>
      </c>
      <c r="I687" s="336">
        <f t="shared" si="33"/>
        <v>23642.582739103091</v>
      </c>
      <c r="J687" s="336"/>
    </row>
    <row r="688" spans="1:10">
      <c r="A688" s="303">
        <v>143</v>
      </c>
      <c r="B688" s="309" t="s">
        <v>272</v>
      </c>
      <c r="C688" s="352" t="s">
        <v>504</v>
      </c>
      <c r="D688" s="355">
        <v>2E-3</v>
      </c>
      <c r="E688" s="342">
        <f t="shared" si="34"/>
        <v>2E-3</v>
      </c>
      <c r="F688" s="342"/>
      <c r="G688" s="336">
        <v>28424880.916324392</v>
      </c>
      <c r="H688" s="336">
        <f t="shared" si="32"/>
        <v>56849.761832648786</v>
      </c>
      <c r="I688" s="336">
        <f t="shared" si="33"/>
        <v>56849.761832648786</v>
      </c>
      <c r="J688" s="336"/>
    </row>
    <row r="689" spans="1:10">
      <c r="A689" s="303">
        <v>144</v>
      </c>
      <c r="B689" s="309" t="s">
        <v>446</v>
      </c>
      <c r="C689" s="352" t="s">
        <v>574</v>
      </c>
      <c r="D689" s="355">
        <v>4</v>
      </c>
      <c r="E689" s="342">
        <f t="shared" si="34"/>
        <v>4</v>
      </c>
      <c r="F689" s="342"/>
      <c r="G689" s="336">
        <v>2433.3828200000003</v>
      </c>
      <c r="H689" s="336">
        <f t="shared" si="32"/>
        <v>9733.5312800000011</v>
      </c>
      <c r="I689" s="336">
        <f t="shared" si="33"/>
        <v>9733.5312800000011</v>
      </c>
      <c r="J689" s="336"/>
    </row>
    <row r="690" spans="1:10">
      <c r="A690" s="303">
        <v>145</v>
      </c>
      <c r="B690" s="309" t="s">
        <v>444</v>
      </c>
      <c r="C690" s="352" t="s">
        <v>331</v>
      </c>
      <c r="D690" s="355">
        <v>31.25</v>
      </c>
      <c r="E690" s="342">
        <f t="shared" si="34"/>
        <v>31.25</v>
      </c>
      <c r="F690" s="342"/>
      <c r="G690" s="336">
        <v>37265.432851184996</v>
      </c>
      <c r="H690" s="336">
        <f t="shared" si="32"/>
        <v>1164544.7765995311</v>
      </c>
      <c r="I690" s="336">
        <f t="shared" si="33"/>
        <v>1164544.7765995311</v>
      </c>
      <c r="J690" s="336"/>
    </row>
    <row r="691" spans="1:10">
      <c r="A691" s="303"/>
      <c r="B691" s="312" t="s">
        <v>451</v>
      </c>
      <c r="C691" s="352"/>
      <c r="D691" s="355">
        <v>0</v>
      </c>
      <c r="E691" s="342">
        <f t="shared" si="34"/>
        <v>0</v>
      </c>
      <c r="F691" s="342"/>
      <c r="G691" s="336">
        <v>0</v>
      </c>
      <c r="H691" s="336">
        <f t="shared" si="32"/>
        <v>0</v>
      </c>
      <c r="I691" s="336">
        <f t="shared" si="33"/>
        <v>0</v>
      </c>
      <c r="J691" s="336"/>
    </row>
    <row r="692" spans="1:10">
      <c r="A692" s="305">
        <v>146</v>
      </c>
      <c r="B692" s="309" t="s">
        <v>432</v>
      </c>
      <c r="C692" s="352" t="s">
        <v>509</v>
      </c>
      <c r="D692" s="355">
        <v>2</v>
      </c>
      <c r="E692" s="342">
        <f t="shared" si="34"/>
        <v>2</v>
      </c>
      <c r="F692" s="342"/>
      <c r="G692" s="336">
        <v>3716439.2713041548</v>
      </c>
      <c r="H692" s="336">
        <f t="shared" si="32"/>
        <v>7432878.5426083095</v>
      </c>
      <c r="I692" s="336">
        <f t="shared" si="33"/>
        <v>7432878.5426083095</v>
      </c>
      <c r="J692" s="336"/>
    </row>
    <row r="693" spans="1:10">
      <c r="A693" s="305">
        <v>147</v>
      </c>
      <c r="B693" s="309" t="s">
        <v>433</v>
      </c>
      <c r="C693" s="352" t="s">
        <v>90</v>
      </c>
      <c r="D693" s="355">
        <v>50</v>
      </c>
      <c r="E693" s="342">
        <f t="shared" si="34"/>
        <v>50</v>
      </c>
      <c r="F693" s="342"/>
      <c r="G693" s="336">
        <v>8516.8398699999998</v>
      </c>
      <c r="H693" s="336">
        <f t="shared" si="32"/>
        <v>425841.99349999998</v>
      </c>
      <c r="I693" s="336">
        <f t="shared" si="33"/>
        <v>425841.99349999998</v>
      </c>
      <c r="J693" s="336"/>
    </row>
    <row r="694" spans="1:10">
      <c r="A694" s="305">
        <v>148</v>
      </c>
      <c r="B694" s="309" t="s">
        <v>434</v>
      </c>
      <c r="C694" s="352" t="s">
        <v>509</v>
      </c>
      <c r="D694" s="355">
        <v>2</v>
      </c>
      <c r="E694" s="342">
        <f t="shared" si="34"/>
        <v>2</v>
      </c>
      <c r="F694" s="342"/>
      <c r="G694" s="336">
        <v>1196980.644150577</v>
      </c>
      <c r="H694" s="336">
        <f t="shared" si="32"/>
        <v>2393961.288301154</v>
      </c>
      <c r="I694" s="336">
        <f t="shared" si="33"/>
        <v>2393961.288301154</v>
      </c>
      <c r="J694" s="336"/>
    </row>
    <row r="695" spans="1:10">
      <c r="A695" s="305">
        <v>149</v>
      </c>
      <c r="B695" s="309" t="s">
        <v>435</v>
      </c>
      <c r="C695" s="352" t="s">
        <v>509</v>
      </c>
      <c r="D695" s="355">
        <v>2</v>
      </c>
      <c r="E695" s="342">
        <f t="shared" si="34"/>
        <v>2</v>
      </c>
      <c r="F695" s="342"/>
      <c r="G695" s="336">
        <v>2188031.1570547321</v>
      </c>
      <c r="H695" s="336">
        <f t="shared" si="32"/>
        <v>4376062.3141094642</v>
      </c>
      <c r="I695" s="336">
        <f t="shared" si="33"/>
        <v>4376062.3141094642</v>
      </c>
      <c r="J695" s="336"/>
    </row>
    <row r="696" spans="1:10">
      <c r="A696" s="305">
        <v>150</v>
      </c>
      <c r="B696" s="309" t="s">
        <v>436</v>
      </c>
      <c r="C696" s="352" t="s">
        <v>509</v>
      </c>
      <c r="D696" s="355">
        <v>1</v>
      </c>
      <c r="E696" s="342">
        <f t="shared" si="34"/>
        <v>1</v>
      </c>
      <c r="F696" s="342"/>
      <c r="G696" s="336">
        <v>1303164.7102372251</v>
      </c>
      <c r="H696" s="336">
        <f t="shared" si="32"/>
        <v>1303164.7102372251</v>
      </c>
      <c r="I696" s="336">
        <f t="shared" si="33"/>
        <v>1303164.7102372251</v>
      </c>
      <c r="J696" s="336"/>
    </row>
    <row r="697" spans="1:10">
      <c r="A697" s="305">
        <v>151</v>
      </c>
      <c r="B697" s="309" t="s">
        <v>437</v>
      </c>
      <c r="C697" s="352" t="s">
        <v>323</v>
      </c>
      <c r="D697" s="355">
        <v>0.4</v>
      </c>
      <c r="E697" s="342">
        <f t="shared" si="34"/>
        <v>0.4</v>
      </c>
      <c r="F697" s="342"/>
      <c r="G697" s="336">
        <v>1760696.5265329438</v>
      </c>
      <c r="H697" s="336">
        <f t="shared" si="32"/>
        <v>704278.61061317753</v>
      </c>
      <c r="I697" s="336">
        <f t="shared" si="33"/>
        <v>704278.61061317753</v>
      </c>
      <c r="J697" s="336"/>
    </row>
    <row r="698" spans="1:10">
      <c r="A698" s="311"/>
      <c r="B698" s="308" t="s">
        <v>719</v>
      </c>
      <c r="C698" s="352"/>
      <c r="D698" s="355">
        <v>0</v>
      </c>
      <c r="E698" s="342">
        <f t="shared" si="34"/>
        <v>0</v>
      </c>
      <c r="F698" s="342"/>
      <c r="G698" s="336">
        <v>0</v>
      </c>
      <c r="H698" s="336">
        <f t="shared" si="32"/>
        <v>0</v>
      </c>
      <c r="I698" s="336">
        <f t="shared" si="33"/>
        <v>0</v>
      </c>
      <c r="J698" s="336"/>
    </row>
    <row r="699" spans="1:10">
      <c r="A699" s="303">
        <v>152</v>
      </c>
      <c r="B699" s="307" t="s">
        <v>516</v>
      </c>
      <c r="C699" s="352" t="s">
        <v>718</v>
      </c>
      <c r="D699" s="355">
        <v>1.62</v>
      </c>
      <c r="E699" s="342">
        <f t="shared" si="34"/>
        <v>1.62</v>
      </c>
      <c r="F699" s="342"/>
      <c r="G699" s="336">
        <v>1913905.107270387</v>
      </c>
      <c r="H699" s="336">
        <f t="shared" si="32"/>
        <v>3100526.2737780269</v>
      </c>
      <c r="I699" s="336">
        <f t="shared" si="33"/>
        <v>3100526.2737780269</v>
      </c>
      <c r="J699" s="336"/>
    </row>
    <row r="700" spans="1:10">
      <c r="A700" s="305">
        <v>153</v>
      </c>
      <c r="B700" s="309" t="s">
        <v>438</v>
      </c>
      <c r="C700" s="352" t="s">
        <v>509</v>
      </c>
      <c r="D700" s="355">
        <v>60</v>
      </c>
      <c r="E700" s="342">
        <f t="shared" si="34"/>
        <v>60</v>
      </c>
      <c r="F700" s="342"/>
      <c r="G700" s="336">
        <v>96127.503237292985</v>
      </c>
      <c r="H700" s="336">
        <f t="shared" si="32"/>
        <v>5767650.1942375787</v>
      </c>
      <c r="I700" s="336">
        <f t="shared" si="33"/>
        <v>5767650.1942375787</v>
      </c>
      <c r="J700" s="336"/>
    </row>
    <row r="701" spans="1:10">
      <c r="A701" s="314"/>
      <c r="B701" s="308" t="s">
        <v>452</v>
      </c>
      <c r="C701" s="368" t="s">
        <v>318</v>
      </c>
      <c r="D701" s="355">
        <v>0</v>
      </c>
      <c r="E701" s="342">
        <f t="shared" si="34"/>
        <v>0</v>
      </c>
      <c r="F701" s="342"/>
      <c r="G701" s="336">
        <v>0</v>
      </c>
      <c r="H701" s="336">
        <f t="shared" si="32"/>
        <v>0</v>
      </c>
      <c r="I701" s="336">
        <f t="shared" si="33"/>
        <v>0</v>
      </c>
      <c r="J701" s="336"/>
    </row>
    <row r="702" spans="1:10">
      <c r="A702" s="303">
        <v>154</v>
      </c>
      <c r="B702" s="309" t="s">
        <v>445</v>
      </c>
      <c r="C702" s="352" t="s">
        <v>579</v>
      </c>
      <c r="D702" s="355">
        <v>3.0000000000000001E-3</v>
      </c>
      <c r="E702" s="342">
        <f t="shared" si="34"/>
        <v>3.0000000000000001E-3</v>
      </c>
      <c r="F702" s="342"/>
      <c r="G702" s="336">
        <v>23642582.73910309</v>
      </c>
      <c r="H702" s="336">
        <f t="shared" si="32"/>
        <v>70927.748217309272</v>
      </c>
      <c r="I702" s="336">
        <f t="shared" si="33"/>
        <v>70927.748217309272</v>
      </c>
      <c r="J702" s="336"/>
    </row>
    <row r="703" spans="1:10">
      <c r="A703" s="303">
        <v>155</v>
      </c>
      <c r="B703" s="309" t="s">
        <v>272</v>
      </c>
      <c r="C703" s="352" t="s">
        <v>504</v>
      </c>
      <c r="D703" s="355">
        <v>8.0000000000000002E-3</v>
      </c>
      <c r="E703" s="342">
        <f t="shared" si="34"/>
        <v>8.0000000000000002E-3</v>
      </c>
      <c r="F703" s="342"/>
      <c r="G703" s="336">
        <v>28424880.916324392</v>
      </c>
      <c r="H703" s="336">
        <f t="shared" si="32"/>
        <v>227399.04733059515</v>
      </c>
      <c r="I703" s="336">
        <f t="shared" si="33"/>
        <v>227399.04733059515</v>
      </c>
      <c r="J703" s="336"/>
    </row>
    <row r="704" spans="1:10">
      <c r="A704" s="303">
        <v>156</v>
      </c>
      <c r="B704" s="309" t="s">
        <v>446</v>
      </c>
      <c r="C704" s="352" t="s">
        <v>574</v>
      </c>
      <c r="D704" s="355">
        <v>20</v>
      </c>
      <c r="E704" s="342">
        <f t="shared" si="34"/>
        <v>20</v>
      </c>
      <c r="F704" s="342"/>
      <c r="G704" s="336">
        <v>2433.3828200000003</v>
      </c>
      <c r="H704" s="336">
        <f t="shared" si="32"/>
        <v>48667.656400000007</v>
      </c>
      <c r="I704" s="336">
        <f t="shared" si="33"/>
        <v>48667.656400000007</v>
      </c>
      <c r="J704" s="336"/>
    </row>
    <row r="705" spans="1:10">
      <c r="A705" s="303">
        <v>157</v>
      </c>
      <c r="B705" s="309" t="s">
        <v>717</v>
      </c>
      <c r="C705" s="352" t="s">
        <v>273</v>
      </c>
      <c r="D705" s="355">
        <v>10</v>
      </c>
      <c r="E705" s="342">
        <f t="shared" si="34"/>
        <v>10</v>
      </c>
      <c r="F705" s="342"/>
      <c r="G705" s="336">
        <v>74826.52171500001</v>
      </c>
      <c r="H705" s="336">
        <f t="shared" si="32"/>
        <v>748265.21715000016</v>
      </c>
      <c r="I705" s="336">
        <f t="shared" si="33"/>
        <v>748265.21715000016</v>
      </c>
      <c r="J705" s="336"/>
    </row>
    <row r="706" spans="1:10">
      <c r="A706" s="303">
        <v>158</v>
      </c>
      <c r="B706" s="309" t="s">
        <v>447</v>
      </c>
      <c r="C706" s="352" t="s">
        <v>324</v>
      </c>
      <c r="D706" s="355">
        <v>0.27</v>
      </c>
      <c r="E706" s="342">
        <f t="shared" si="34"/>
        <v>0.27</v>
      </c>
      <c r="F706" s="342"/>
      <c r="G706" s="336">
        <v>1528207.3601667725</v>
      </c>
      <c r="H706" s="336">
        <f t="shared" si="32"/>
        <v>412615.98724502861</v>
      </c>
      <c r="I706" s="336">
        <f t="shared" si="33"/>
        <v>412615.98724502861</v>
      </c>
      <c r="J706" s="336"/>
    </row>
    <row r="707" spans="1:10">
      <c r="A707" s="303">
        <v>159</v>
      </c>
      <c r="B707" s="309" t="s">
        <v>716</v>
      </c>
      <c r="C707" s="352" t="s">
        <v>323</v>
      </c>
      <c r="D707" s="355">
        <v>0.06</v>
      </c>
      <c r="E707" s="342">
        <f t="shared" si="34"/>
        <v>0.06</v>
      </c>
      <c r="F707" s="342"/>
      <c r="G707" s="336">
        <v>1810683.9281053711</v>
      </c>
      <c r="H707" s="336">
        <f t="shared" si="32"/>
        <v>108641.03568632226</v>
      </c>
      <c r="I707" s="336">
        <f t="shared" si="33"/>
        <v>108641.03568632226</v>
      </c>
      <c r="J707" s="336"/>
    </row>
    <row r="708" spans="1:10">
      <c r="A708" s="303">
        <v>160</v>
      </c>
      <c r="B708" s="309" t="s">
        <v>448</v>
      </c>
      <c r="C708" s="352" t="s">
        <v>323</v>
      </c>
      <c r="D708" s="355">
        <v>0.09</v>
      </c>
      <c r="E708" s="342">
        <f t="shared" si="34"/>
        <v>0.09</v>
      </c>
      <c r="F708" s="342"/>
      <c r="G708" s="336">
        <v>2088753.7614260898</v>
      </c>
      <c r="H708" s="336">
        <f t="shared" si="32"/>
        <v>187987.83852834807</v>
      </c>
      <c r="I708" s="336">
        <f t="shared" si="33"/>
        <v>187987.83852834807</v>
      </c>
      <c r="J708" s="336"/>
    </row>
    <row r="709" spans="1:10">
      <c r="A709" s="303">
        <v>161</v>
      </c>
      <c r="B709" s="309" t="s">
        <v>444</v>
      </c>
      <c r="C709" s="352" t="s">
        <v>331</v>
      </c>
      <c r="D709" s="355">
        <v>31.25</v>
      </c>
      <c r="E709" s="342">
        <f t="shared" si="34"/>
        <v>31.25</v>
      </c>
      <c r="F709" s="342"/>
      <c r="G709" s="336">
        <v>37265.432851184996</v>
      </c>
      <c r="H709" s="336">
        <f t="shared" si="32"/>
        <v>1164544.7765995311</v>
      </c>
      <c r="I709" s="336">
        <f t="shared" si="33"/>
        <v>1164544.7765995311</v>
      </c>
      <c r="J709" s="336"/>
    </row>
    <row r="710" spans="1:10">
      <c r="A710" s="354"/>
      <c r="B710" s="316" t="s">
        <v>583</v>
      </c>
      <c r="C710" s="352"/>
      <c r="D710" s="340"/>
      <c r="E710" s="342">
        <f t="shared" si="34"/>
        <v>0</v>
      </c>
      <c r="F710" s="342"/>
      <c r="G710" s="336"/>
      <c r="H710" s="336">
        <f t="shared" si="32"/>
        <v>0</v>
      </c>
      <c r="I710" s="336">
        <f t="shared" si="33"/>
        <v>0</v>
      </c>
      <c r="J710" s="336"/>
    </row>
    <row r="711" spans="1:10">
      <c r="A711" s="354"/>
      <c r="B711" s="316" t="s">
        <v>584</v>
      </c>
      <c r="C711" s="352"/>
      <c r="D711" s="340"/>
      <c r="E711" s="342">
        <f t="shared" si="34"/>
        <v>0</v>
      </c>
      <c r="F711" s="342"/>
      <c r="G711" s="336"/>
      <c r="H711" s="336">
        <f t="shared" si="32"/>
        <v>0</v>
      </c>
      <c r="I711" s="336">
        <f t="shared" si="33"/>
        <v>0</v>
      </c>
      <c r="J711" s="336"/>
    </row>
    <row r="712" spans="1:10">
      <c r="A712" s="305">
        <v>162</v>
      </c>
      <c r="B712" s="366" t="s">
        <v>585</v>
      </c>
      <c r="C712" s="317" t="s">
        <v>335</v>
      </c>
      <c r="D712" s="365">
        <v>1</v>
      </c>
      <c r="E712" s="342">
        <f t="shared" si="34"/>
        <v>1</v>
      </c>
      <c r="F712" s="342"/>
      <c r="G712" s="336">
        <v>164689937.90416667</v>
      </c>
      <c r="H712" s="336">
        <f t="shared" si="32"/>
        <v>164689937.90416667</v>
      </c>
      <c r="I712" s="336">
        <f t="shared" si="33"/>
        <v>164689937.90416667</v>
      </c>
      <c r="J712" s="336"/>
    </row>
    <row r="713" spans="1:10">
      <c r="A713" s="305">
        <v>163</v>
      </c>
      <c r="B713" s="366" t="s">
        <v>338</v>
      </c>
      <c r="C713" s="317" t="s">
        <v>335</v>
      </c>
      <c r="D713" s="365">
        <v>1</v>
      </c>
      <c r="E713" s="342">
        <f t="shared" si="34"/>
        <v>1</v>
      </c>
      <c r="F713" s="342"/>
      <c r="G713" s="336">
        <v>121763001.76108152</v>
      </c>
      <c r="H713" s="336">
        <f t="shared" si="32"/>
        <v>121763001.76108152</v>
      </c>
      <c r="I713" s="336">
        <f t="shared" si="33"/>
        <v>121763001.76108152</v>
      </c>
      <c r="J713" s="336"/>
    </row>
    <row r="714" spans="1:10">
      <c r="A714" s="305">
        <v>164</v>
      </c>
      <c r="B714" s="366" t="s">
        <v>339</v>
      </c>
      <c r="C714" s="317" t="s">
        <v>335</v>
      </c>
      <c r="D714" s="365">
        <v>1</v>
      </c>
      <c r="E714" s="342">
        <f t="shared" si="34"/>
        <v>1</v>
      </c>
      <c r="F714" s="342"/>
      <c r="G714" s="336">
        <v>38622667.36024294</v>
      </c>
      <c r="H714" s="336">
        <f t="shared" si="32"/>
        <v>38622667.36024294</v>
      </c>
      <c r="I714" s="336">
        <f t="shared" si="33"/>
        <v>38622667.36024294</v>
      </c>
      <c r="J714" s="336"/>
    </row>
    <row r="715" spans="1:10">
      <c r="A715" s="305">
        <v>165</v>
      </c>
      <c r="B715" s="366" t="s">
        <v>336</v>
      </c>
      <c r="C715" s="317" t="s">
        <v>335</v>
      </c>
      <c r="D715" s="365">
        <v>1</v>
      </c>
      <c r="E715" s="342">
        <f t="shared" si="34"/>
        <v>1</v>
      </c>
      <c r="F715" s="342"/>
      <c r="G715" s="336">
        <v>11348187.350028697</v>
      </c>
      <c r="H715" s="336">
        <f t="shared" si="32"/>
        <v>11348187.350028697</v>
      </c>
      <c r="I715" s="336">
        <f t="shared" si="33"/>
        <v>11348187.350028697</v>
      </c>
      <c r="J715" s="336"/>
    </row>
    <row r="716" spans="1:10">
      <c r="A716" s="305">
        <v>166</v>
      </c>
      <c r="B716" s="366" t="s">
        <v>340</v>
      </c>
      <c r="C716" s="317" t="s">
        <v>335</v>
      </c>
      <c r="D716" s="365">
        <v>1</v>
      </c>
      <c r="E716" s="342">
        <f t="shared" si="34"/>
        <v>1</v>
      </c>
      <c r="F716" s="342"/>
      <c r="G716" s="336">
        <v>3786165.5895592449</v>
      </c>
      <c r="H716" s="336">
        <f t="shared" si="32"/>
        <v>3786165.5895592449</v>
      </c>
      <c r="I716" s="336">
        <f t="shared" si="33"/>
        <v>3786165.5895592449</v>
      </c>
      <c r="J716" s="336"/>
    </row>
    <row r="717" spans="1:10">
      <c r="A717" s="305">
        <v>167</v>
      </c>
      <c r="B717" s="366" t="s">
        <v>586</v>
      </c>
      <c r="C717" s="317" t="s">
        <v>335</v>
      </c>
      <c r="D717" s="365">
        <v>2</v>
      </c>
      <c r="E717" s="342">
        <f t="shared" si="34"/>
        <v>2</v>
      </c>
      <c r="F717" s="342"/>
      <c r="G717" s="336">
        <v>3694930.0219555688</v>
      </c>
      <c r="H717" s="336">
        <f t="shared" si="32"/>
        <v>7389860.0439111376</v>
      </c>
      <c r="I717" s="336">
        <f t="shared" si="33"/>
        <v>7389860.0439111376</v>
      </c>
      <c r="J717" s="336"/>
    </row>
    <row r="718" spans="1:10">
      <c r="A718" s="305">
        <v>168</v>
      </c>
      <c r="B718" s="366" t="s">
        <v>587</v>
      </c>
      <c r="C718" s="317" t="s">
        <v>335</v>
      </c>
      <c r="D718" s="365">
        <v>1</v>
      </c>
      <c r="E718" s="342">
        <f t="shared" si="34"/>
        <v>1</v>
      </c>
      <c r="F718" s="342"/>
      <c r="G718" s="336">
        <v>7191824.8741175216</v>
      </c>
      <c r="H718" s="336">
        <f t="shared" si="32"/>
        <v>7191824.8741175216</v>
      </c>
      <c r="I718" s="336">
        <f t="shared" si="33"/>
        <v>7191824.8741175216</v>
      </c>
      <c r="J718" s="336"/>
    </row>
    <row r="719" spans="1:10">
      <c r="A719" s="305">
        <v>169</v>
      </c>
      <c r="B719" s="318" t="s">
        <v>588</v>
      </c>
      <c r="C719" s="317" t="s">
        <v>335</v>
      </c>
      <c r="D719" s="365">
        <v>1</v>
      </c>
      <c r="E719" s="342">
        <f t="shared" si="34"/>
        <v>1</v>
      </c>
      <c r="F719" s="342"/>
      <c r="G719" s="336">
        <v>45575534.059522815</v>
      </c>
      <c r="H719" s="336">
        <f t="shared" si="32"/>
        <v>45575534.059522815</v>
      </c>
      <c r="I719" s="336">
        <f t="shared" si="33"/>
        <v>45575534.059522815</v>
      </c>
      <c r="J719" s="336"/>
    </row>
    <row r="720" spans="1:10">
      <c r="A720" s="305">
        <v>170</v>
      </c>
      <c r="B720" s="318" t="s">
        <v>589</v>
      </c>
      <c r="C720" s="317" t="s">
        <v>335</v>
      </c>
      <c r="D720" s="365">
        <v>1</v>
      </c>
      <c r="E720" s="342">
        <f t="shared" si="34"/>
        <v>1</v>
      </c>
      <c r="F720" s="342"/>
      <c r="G720" s="336">
        <v>34130879.844812706</v>
      </c>
      <c r="H720" s="336">
        <f t="shared" ref="H720:H732" si="35">D720*G720</f>
        <v>34130879.844812706</v>
      </c>
      <c r="I720" s="336">
        <f t="shared" ref="I720:I732" si="36">E720*G720</f>
        <v>34130879.844812706</v>
      </c>
      <c r="J720" s="336"/>
    </row>
    <row r="721" spans="1:10">
      <c r="A721" s="305">
        <v>171</v>
      </c>
      <c r="B721" s="319" t="s">
        <v>590</v>
      </c>
      <c r="C721" s="320" t="s">
        <v>591</v>
      </c>
      <c r="D721" s="320">
        <v>1</v>
      </c>
      <c r="E721" s="342">
        <f t="shared" ref="E721:E732" si="37">D721</f>
        <v>1</v>
      </c>
      <c r="F721" s="342"/>
      <c r="G721" s="336">
        <v>1714820.5790096142</v>
      </c>
      <c r="H721" s="336">
        <f t="shared" si="35"/>
        <v>1714820.5790096142</v>
      </c>
      <c r="I721" s="336">
        <f t="shared" si="36"/>
        <v>1714820.5790096142</v>
      </c>
      <c r="J721" s="336"/>
    </row>
    <row r="722" spans="1:10">
      <c r="A722" s="354"/>
      <c r="B722" s="321" t="s">
        <v>592</v>
      </c>
      <c r="C722" s="352"/>
      <c r="D722" s="340"/>
      <c r="E722" s="342">
        <f t="shared" si="37"/>
        <v>0</v>
      </c>
      <c r="F722" s="342"/>
      <c r="G722" s="336"/>
      <c r="H722" s="336">
        <f t="shared" si="35"/>
        <v>0</v>
      </c>
      <c r="I722" s="336">
        <f t="shared" si="36"/>
        <v>0</v>
      </c>
      <c r="J722" s="336"/>
    </row>
    <row r="723" spans="1:10">
      <c r="A723" s="305">
        <v>172</v>
      </c>
      <c r="B723" s="367" t="s">
        <v>593</v>
      </c>
      <c r="C723" s="352"/>
      <c r="D723" s="340"/>
      <c r="E723" s="342">
        <f t="shared" si="37"/>
        <v>0</v>
      </c>
      <c r="F723" s="342"/>
      <c r="G723" s="336"/>
      <c r="H723" s="336">
        <f t="shared" si="35"/>
        <v>0</v>
      </c>
      <c r="I723" s="336">
        <f t="shared" si="36"/>
        <v>0</v>
      </c>
      <c r="J723" s="336"/>
    </row>
    <row r="724" spans="1:10">
      <c r="A724" s="305">
        <v>173</v>
      </c>
      <c r="B724" s="366" t="s">
        <v>585</v>
      </c>
      <c r="C724" s="317" t="s">
        <v>335</v>
      </c>
      <c r="D724" s="365">
        <v>1</v>
      </c>
      <c r="E724" s="342">
        <f t="shared" si="37"/>
        <v>1</v>
      </c>
      <c r="F724" s="342"/>
      <c r="G724" s="336">
        <v>9707991.712817587</v>
      </c>
      <c r="H724" s="336">
        <f t="shared" si="35"/>
        <v>9707991.712817587</v>
      </c>
      <c r="I724" s="336">
        <f t="shared" si="36"/>
        <v>9707991.712817587</v>
      </c>
      <c r="J724" s="336"/>
    </row>
    <row r="725" spans="1:10">
      <c r="A725" s="305">
        <v>174</v>
      </c>
      <c r="B725" s="366" t="s">
        <v>338</v>
      </c>
      <c r="C725" s="317" t="s">
        <v>335</v>
      </c>
      <c r="D725" s="365">
        <v>1</v>
      </c>
      <c r="E725" s="342">
        <f t="shared" si="37"/>
        <v>1</v>
      </c>
      <c r="F725" s="342"/>
      <c r="G725" s="336">
        <v>6919771.1297472585</v>
      </c>
      <c r="H725" s="336">
        <f t="shared" si="35"/>
        <v>6919771.1297472585</v>
      </c>
      <c r="I725" s="336">
        <f t="shared" si="36"/>
        <v>6919771.1297472585</v>
      </c>
      <c r="J725" s="336"/>
    </row>
    <row r="726" spans="1:10">
      <c r="A726" s="305">
        <v>175</v>
      </c>
      <c r="B726" s="366" t="s">
        <v>339</v>
      </c>
      <c r="C726" s="317" t="s">
        <v>335</v>
      </c>
      <c r="D726" s="365">
        <v>1</v>
      </c>
      <c r="E726" s="342">
        <f t="shared" si="37"/>
        <v>1</v>
      </c>
      <c r="F726" s="342"/>
      <c r="G726" s="336">
        <v>2258939.4052928011</v>
      </c>
      <c r="H726" s="336">
        <f t="shared" si="35"/>
        <v>2258939.4052928011</v>
      </c>
      <c r="I726" s="336">
        <f t="shared" si="36"/>
        <v>2258939.4052928011</v>
      </c>
      <c r="J726" s="336"/>
    </row>
    <row r="727" spans="1:10">
      <c r="A727" s="305">
        <v>176</v>
      </c>
      <c r="B727" s="366" t="s">
        <v>336</v>
      </c>
      <c r="C727" s="317" t="s">
        <v>335</v>
      </c>
      <c r="D727" s="365">
        <v>1</v>
      </c>
      <c r="E727" s="342">
        <f t="shared" si="37"/>
        <v>1</v>
      </c>
      <c r="F727" s="342"/>
      <c r="G727" s="336">
        <v>608769.35436146648</v>
      </c>
      <c r="H727" s="336">
        <f t="shared" si="35"/>
        <v>608769.35436146648</v>
      </c>
      <c r="I727" s="336">
        <f t="shared" si="36"/>
        <v>608769.35436146648</v>
      </c>
      <c r="J727" s="336"/>
    </row>
    <row r="728" spans="1:10">
      <c r="A728" s="305">
        <v>177</v>
      </c>
      <c r="B728" s="366" t="s">
        <v>340</v>
      </c>
      <c r="C728" s="317" t="s">
        <v>335</v>
      </c>
      <c r="D728" s="365">
        <v>1</v>
      </c>
      <c r="E728" s="342">
        <f t="shared" si="37"/>
        <v>1</v>
      </c>
      <c r="F728" s="342"/>
      <c r="G728" s="336">
        <v>175552.09288563218</v>
      </c>
      <c r="H728" s="336">
        <f t="shared" si="35"/>
        <v>175552.09288563218</v>
      </c>
      <c r="I728" s="336">
        <f t="shared" si="36"/>
        <v>175552.09288563218</v>
      </c>
      <c r="J728" s="336"/>
    </row>
    <row r="729" spans="1:10">
      <c r="A729" s="305">
        <v>178</v>
      </c>
      <c r="B729" s="366" t="s">
        <v>586</v>
      </c>
      <c r="C729" s="317" t="s">
        <v>335</v>
      </c>
      <c r="D729" s="365">
        <v>2</v>
      </c>
      <c r="E729" s="342">
        <f t="shared" si="37"/>
        <v>2</v>
      </c>
      <c r="F729" s="342"/>
      <c r="G729" s="336">
        <v>209795.77113938704</v>
      </c>
      <c r="H729" s="336">
        <f t="shared" si="35"/>
        <v>419591.54227877408</v>
      </c>
      <c r="I729" s="336">
        <f t="shared" si="36"/>
        <v>419591.54227877408</v>
      </c>
      <c r="J729" s="336"/>
    </row>
    <row r="730" spans="1:10">
      <c r="A730" s="305">
        <v>179</v>
      </c>
      <c r="B730" s="366" t="s">
        <v>587</v>
      </c>
      <c r="C730" s="317" t="s">
        <v>335</v>
      </c>
      <c r="D730" s="365">
        <v>1</v>
      </c>
      <c r="E730" s="342">
        <f t="shared" si="37"/>
        <v>1</v>
      </c>
      <c r="F730" s="342"/>
      <c r="G730" s="336">
        <v>423327.41044563724</v>
      </c>
      <c r="H730" s="336">
        <f t="shared" si="35"/>
        <v>423327.41044563724</v>
      </c>
      <c r="I730" s="336">
        <f t="shared" si="36"/>
        <v>423327.41044563724</v>
      </c>
      <c r="J730" s="336"/>
    </row>
    <row r="731" spans="1:10">
      <c r="A731" s="305">
        <v>180</v>
      </c>
      <c r="B731" s="366" t="s">
        <v>588</v>
      </c>
      <c r="C731" s="317" t="s">
        <v>335</v>
      </c>
      <c r="D731" s="365">
        <v>1</v>
      </c>
      <c r="E731" s="342">
        <f t="shared" si="37"/>
        <v>1</v>
      </c>
      <c r="F731" s="342"/>
      <c r="G731" s="336">
        <v>4108752.6061071767</v>
      </c>
      <c r="H731" s="336">
        <f t="shared" si="35"/>
        <v>4108752.6061071767</v>
      </c>
      <c r="I731" s="336">
        <f t="shared" si="36"/>
        <v>4108752.6061071767</v>
      </c>
      <c r="J731" s="336"/>
    </row>
    <row r="732" spans="1:10">
      <c r="A732" s="305">
        <v>181</v>
      </c>
      <c r="B732" s="366" t="s">
        <v>589</v>
      </c>
      <c r="C732" s="317" t="s">
        <v>335</v>
      </c>
      <c r="D732" s="365">
        <v>1</v>
      </c>
      <c r="E732" s="342">
        <f t="shared" si="37"/>
        <v>1</v>
      </c>
      <c r="F732" s="342"/>
      <c r="G732" s="336">
        <v>3110255.4610874234</v>
      </c>
      <c r="H732" s="336">
        <f t="shared" si="35"/>
        <v>3110255.4610874234</v>
      </c>
      <c r="I732" s="336">
        <f t="shared" si="36"/>
        <v>3110255.4610874234</v>
      </c>
      <c r="J732" s="336"/>
    </row>
    <row r="733" spans="1:10" ht="27.75" customHeight="1">
      <c r="A733" s="303"/>
      <c r="B733" s="304" t="s">
        <v>715</v>
      </c>
      <c r="C733" s="352"/>
      <c r="D733" s="340"/>
      <c r="E733" s="342">
        <f>D733*$E$7</f>
        <v>0</v>
      </c>
      <c r="F733" s="342">
        <f>D733*$F$7</f>
        <v>0</v>
      </c>
      <c r="G733" s="336"/>
      <c r="H733" s="338">
        <f>SUM(H735:H982)</f>
        <v>4693491174.0288477</v>
      </c>
      <c r="I733" s="338">
        <f>SUM(I735:I982)</f>
        <v>4693491174.0288477</v>
      </c>
      <c r="J733" s="336"/>
    </row>
    <row r="734" spans="1:10">
      <c r="A734" s="303"/>
      <c r="B734" s="312" t="s">
        <v>496</v>
      </c>
      <c r="C734" s="352"/>
      <c r="D734" s="340"/>
      <c r="E734" s="342">
        <f>D734*$E$7</f>
        <v>0</v>
      </c>
      <c r="F734" s="342">
        <f>D734*$F$7</f>
        <v>0</v>
      </c>
      <c r="G734" s="336"/>
      <c r="H734" s="336">
        <f t="shared" ref="H734:H797" si="38">D734*G734</f>
        <v>0</v>
      </c>
      <c r="I734" s="336">
        <f t="shared" ref="I734:I797" si="39">E734*G734</f>
        <v>0</v>
      </c>
      <c r="J734" s="336"/>
    </row>
    <row r="735" spans="1:10">
      <c r="A735" s="305">
        <v>1</v>
      </c>
      <c r="B735" s="307" t="s">
        <v>342</v>
      </c>
      <c r="C735" s="352" t="s">
        <v>319</v>
      </c>
      <c r="D735" s="355">
        <v>6.8</v>
      </c>
      <c r="E735" s="342">
        <f t="shared" ref="E735:E798" si="40">D735</f>
        <v>6.8</v>
      </c>
      <c r="F735" s="342"/>
      <c r="G735" s="336">
        <v>209980.13194288901</v>
      </c>
      <c r="H735" s="336">
        <f t="shared" si="38"/>
        <v>1427864.8972116453</v>
      </c>
      <c r="I735" s="336">
        <f t="shared" si="39"/>
        <v>1427864.8972116453</v>
      </c>
      <c r="J735" s="336"/>
    </row>
    <row r="736" spans="1:10">
      <c r="A736" s="305">
        <v>2</v>
      </c>
      <c r="B736" s="307" t="s">
        <v>343</v>
      </c>
      <c r="C736" s="352" t="s">
        <v>498</v>
      </c>
      <c r="D736" s="355">
        <v>27</v>
      </c>
      <c r="E736" s="342">
        <f t="shared" si="40"/>
        <v>27</v>
      </c>
      <c r="F736" s="342"/>
      <c r="G736" s="336">
        <v>50385.868009201993</v>
      </c>
      <c r="H736" s="336">
        <f t="shared" si="38"/>
        <v>1360418.4362484538</v>
      </c>
      <c r="I736" s="336">
        <f t="shared" si="39"/>
        <v>1360418.4362484538</v>
      </c>
      <c r="J736" s="336"/>
    </row>
    <row r="737" spans="1:10">
      <c r="A737" s="305">
        <v>3</v>
      </c>
      <c r="B737" s="307" t="s">
        <v>344</v>
      </c>
      <c r="C737" s="352" t="s">
        <v>498</v>
      </c>
      <c r="D737" s="355">
        <v>11</v>
      </c>
      <c r="E737" s="342">
        <f t="shared" si="40"/>
        <v>11</v>
      </c>
      <c r="F737" s="342"/>
      <c r="G737" s="336">
        <v>77678.324710899004</v>
      </c>
      <c r="H737" s="336">
        <f t="shared" si="38"/>
        <v>854461.57181988901</v>
      </c>
      <c r="I737" s="336">
        <f t="shared" si="39"/>
        <v>854461.57181988901</v>
      </c>
      <c r="J737" s="336"/>
    </row>
    <row r="738" spans="1:10">
      <c r="A738" s="305">
        <v>4</v>
      </c>
      <c r="B738" s="307" t="s">
        <v>345</v>
      </c>
      <c r="C738" s="352" t="s">
        <v>70</v>
      </c>
      <c r="D738" s="355">
        <v>0.96</v>
      </c>
      <c r="E738" s="342">
        <f t="shared" si="40"/>
        <v>0.96</v>
      </c>
      <c r="F738" s="342"/>
      <c r="G738" s="336">
        <v>216467.65221015</v>
      </c>
      <c r="H738" s="336">
        <f t="shared" si="38"/>
        <v>207808.946121744</v>
      </c>
      <c r="I738" s="336">
        <f t="shared" si="39"/>
        <v>207808.946121744</v>
      </c>
      <c r="J738" s="336"/>
    </row>
    <row r="739" spans="1:10">
      <c r="A739" s="305">
        <v>5</v>
      </c>
      <c r="B739" s="307" t="s">
        <v>346</v>
      </c>
      <c r="C739" s="352" t="s">
        <v>321</v>
      </c>
      <c r="D739" s="355">
        <v>5.8000000000000003E-2</v>
      </c>
      <c r="E739" s="342">
        <f t="shared" si="40"/>
        <v>5.8000000000000003E-2</v>
      </c>
      <c r="F739" s="342"/>
      <c r="G739" s="336">
        <v>731754.59304715903</v>
      </c>
      <c r="H739" s="336">
        <f t="shared" si="38"/>
        <v>42441.766396735227</v>
      </c>
      <c r="I739" s="336">
        <f t="shared" si="39"/>
        <v>42441.766396735227</v>
      </c>
      <c r="J739" s="336"/>
    </row>
    <row r="740" spans="1:10" ht="33">
      <c r="A740" s="305">
        <v>6</v>
      </c>
      <c r="B740" s="307" t="s">
        <v>347</v>
      </c>
      <c r="C740" s="352" t="s">
        <v>321</v>
      </c>
      <c r="D740" s="355">
        <v>7.2999999999999995E-2</v>
      </c>
      <c r="E740" s="342">
        <f t="shared" si="40"/>
        <v>7.2999999999999995E-2</v>
      </c>
      <c r="F740" s="342"/>
      <c r="G740" s="336">
        <v>1235604.0262844632</v>
      </c>
      <c r="H740" s="336">
        <f t="shared" si="38"/>
        <v>90199.093918765808</v>
      </c>
      <c r="I740" s="336">
        <f t="shared" si="39"/>
        <v>90199.093918765808</v>
      </c>
      <c r="J740" s="336"/>
    </row>
    <row r="741" spans="1:10">
      <c r="A741" s="305">
        <v>7</v>
      </c>
      <c r="B741" s="307" t="s">
        <v>348</v>
      </c>
      <c r="C741" s="352" t="s">
        <v>322</v>
      </c>
      <c r="D741" s="355">
        <v>2.7E-2</v>
      </c>
      <c r="E741" s="342">
        <f t="shared" si="40"/>
        <v>2.7E-2</v>
      </c>
      <c r="F741" s="342"/>
      <c r="G741" s="336">
        <v>81099718.991999239</v>
      </c>
      <c r="H741" s="336">
        <f t="shared" si="38"/>
        <v>2189692.4127839794</v>
      </c>
      <c r="I741" s="336">
        <f t="shared" si="39"/>
        <v>2189692.4127839794</v>
      </c>
      <c r="J741" s="336"/>
    </row>
    <row r="742" spans="1:10">
      <c r="A742" s="305">
        <v>8</v>
      </c>
      <c r="B742" s="307" t="s">
        <v>345</v>
      </c>
      <c r="C742" s="352" t="s">
        <v>70</v>
      </c>
      <c r="D742" s="355">
        <v>0.1</v>
      </c>
      <c r="E742" s="342">
        <f t="shared" si="40"/>
        <v>0.1</v>
      </c>
      <c r="F742" s="342"/>
      <c r="G742" s="336">
        <v>216467.65221015</v>
      </c>
      <c r="H742" s="336">
        <f t="shared" si="38"/>
        <v>21646.765221015001</v>
      </c>
      <c r="I742" s="336">
        <f t="shared" si="39"/>
        <v>21646.765221015001</v>
      </c>
      <c r="J742" s="336"/>
    </row>
    <row r="743" spans="1:10">
      <c r="A743" s="305"/>
      <c r="B743" s="308" t="s">
        <v>499</v>
      </c>
      <c r="C743" s="352"/>
      <c r="D743" s="355">
        <v>0</v>
      </c>
      <c r="E743" s="342">
        <f t="shared" si="40"/>
        <v>0</v>
      </c>
      <c r="F743" s="342"/>
      <c r="G743" s="336">
        <v>0</v>
      </c>
      <c r="H743" s="336">
        <f t="shared" si="38"/>
        <v>0</v>
      </c>
      <c r="I743" s="336">
        <f t="shared" si="39"/>
        <v>0</v>
      </c>
      <c r="J743" s="336"/>
    </row>
    <row r="744" spans="1:10" ht="33">
      <c r="A744" s="305">
        <v>9</v>
      </c>
      <c r="B744" s="309" t="s">
        <v>500</v>
      </c>
      <c r="C744" s="352" t="s">
        <v>321</v>
      </c>
      <c r="D744" s="355">
        <v>0.25</v>
      </c>
      <c r="E744" s="342">
        <f t="shared" si="40"/>
        <v>0.25</v>
      </c>
      <c r="F744" s="342"/>
      <c r="G744" s="336">
        <v>869256.05268892506</v>
      </c>
      <c r="H744" s="336">
        <f t="shared" si="38"/>
        <v>217314.01317223127</v>
      </c>
      <c r="I744" s="336">
        <f t="shared" si="39"/>
        <v>217314.01317223127</v>
      </c>
      <c r="J744" s="336"/>
    </row>
    <row r="745" spans="1:10">
      <c r="A745" s="305">
        <v>10</v>
      </c>
      <c r="B745" s="309" t="s">
        <v>501</v>
      </c>
      <c r="C745" s="352" t="s">
        <v>106</v>
      </c>
      <c r="D745" s="355">
        <v>0.48</v>
      </c>
      <c r="E745" s="342">
        <f t="shared" si="40"/>
        <v>0.48</v>
      </c>
      <c r="F745" s="342"/>
      <c r="G745" s="336">
        <v>265539806.91625923</v>
      </c>
      <c r="H745" s="336">
        <f t="shared" si="38"/>
        <v>127459107.31980443</v>
      </c>
      <c r="I745" s="336">
        <f t="shared" si="39"/>
        <v>127459107.31980443</v>
      </c>
      <c r="J745" s="336"/>
    </row>
    <row r="746" spans="1:10">
      <c r="A746" s="305">
        <v>11</v>
      </c>
      <c r="B746" s="309" t="s">
        <v>352</v>
      </c>
      <c r="C746" s="352" t="s">
        <v>324</v>
      </c>
      <c r="D746" s="355">
        <v>4.32</v>
      </c>
      <c r="E746" s="342">
        <f t="shared" si="40"/>
        <v>4.32</v>
      </c>
      <c r="F746" s="342"/>
      <c r="G746" s="336">
        <v>1528207.3601667725</v>
      </c>
      <c r="H746" s="336">
        <f t="shared" si="38"/>
        <v>6601855.7959204577</v>
      </c>
      <c r="I746" s="336">
        <f t="shared" si="39"/>
        <v>6601855.7959204577</v>
      </c>
      <c r="J746" s="336"/>
    </row>
    <row r="747" spans="1:10" ht="33">
      <c r="A747" s="305">
        <v>12</v>
      </c>
      <c r="B747" s="309" t="s">
        <v>356</v>
      </c>
      <c r="C747" s="352" t="s">
        <v>324</v>
      </c>
      <c r="D747" s="355">
        <v>4.32</v>
      </c>
      <c r="E747" s="342">
        <f t="shared" si="40"/>
        <v>4.32</v>
      </c>
      <c r="F747" s="342"/>
      <c r="G747" s="336">
        <v>325357.39665435604</v>
      </c>
      <c r="H747" s="336">
        <f t="shared" si="38"/>
        <v>1405543.9535468181</v>
      </c>
      <c r="I747" s="336">
        <f t="shared" si="39"/>
        <v>1405543.9535468181</v>
      </c>
      <c r="J747" s="336"/>
    </row>
    <row r="748" spans="1:10">
      <c r="A748" s="305">
        <v>13</v>
      </c>
      <c r="B748" s="309" t="s">
        <v>501</v>
      </c>
      <c r="C748" s="352" t="s">
        <v>106</v>
      </c>
      <c r="D748" s="355">
        <v>0.48</v>
      </c>
      <c r="E748" s="342">
        <f t="shared" si="40"/>
        <v>0.48</v>
      </c>
      <c r="F748" s="342"/>
      <c r="G748" s="336">
        <v>4541731.8832607036</v>
      </c>
      <c r="H748" s="336">
        <f t="shared" si="38"/>
        <v>2180031.3039651378</v>
      </c>
      <c r="I748" s="336">
        <f t="shared" si="39"/>
        <v>2180031.3039651378</v>
      </c>
      <c r="J748" s="336"/>
    </row>
    <row r="749" spans="1:10">
      <c r="A749" s="305"/>
      <c r="B749" s="308" t="s">
        <v>502</v>
      </c>
      <c r="C749" s="352"/>
      <c r="D749" s="355">
        <v>0</v>
      </c>
      <c r="E749" s="342">
        <f t="shared" si="40"/>
        <v>0</v>
      </c>
      <c r="F749" s="342"/>
      <c r="G749" s="336">
        <v>0</v>
      </c>
      <c r="H749" s="336">
        <f t="shared" si="38"/>
        <v>0</v>
      </c>
      <c r="I749" s="336">
        <f t="shared" si="39"/>
        <v>0</v>
      </c>
      <c r="J749" s="336"/>
    </row>
    <row r="750" spans="1:10">
      <c r="A750" s="303">
        <v>14</v>
      </c>
      <c r="B750" s="309" t="s">
        <v>396</v>
      </c>
      <c r="C750" s="352" t="s">
        <v>325</v>
      </c>
      <c r="D750" s="355">
        <v>1.0449999999999999</v>
      </c>
      <c r="E750" s="342">
        <f t="shared" si="40"/>
        <v>1.0449999999999999</v>
      </c>
      <c r="F750" s="342"/>
      <c r="G750" s="336">
        <v>2389507.7110639899</v>
      </c>
      <c r="H750" s="336">
        <f t="shared" si="38"/>
        <v>2497035.5580618693</v>
      </c>
      <c r="I750" s="336">
        <f t="shared" si="39"/>
        <v>2497035.5580618693</v>
      </c>
      <c r="J750" s="336"/>
    </row>
    <row r="751" spans="1:10">
      <c r="A751" s="303">
        <v>15</v>
      </c>
      <c r="B751" s="309" t="s">
        <v>503</v>
      </c>
      <c r="C751" s="352" t="s">
        <v>504</v>
      </c>
      <c r="D751" s="355">
        <v>6.0000000000000001E-3</v>
      </c>
      <c r="E751" s="342">
        <f t="shared" si="40"/>
        <v>6.0000000000000001E-3</v>
      </c>
      <c r="F751" s="342"/>
      <c r="G751" s="336">
        <v>22449267.621163417</v>
      </c>
      <c r="H751" s="336">
        <f t="shared" si="38"/>
        <v>134695.60572698052</v>
      </c>
      <c r="I751" s="336">
        <f t="shared" si="39"/>
        <v>134695.60572698052</v>
      </c>
      <c r="J751" s="336"/>
    </row>
    <row r="752" spans="1:10">
      <c r="A752" s="303"/>
      <c r="B752" s="312" t="s">
        <v>595</v>
      </c>
      <c r="C752" s="352"/>
      <c r="D752" s="355">
        <v>0</v>
      </c>
      <c r="E752" s="342">
        <f t="shared" si="40"/>
        <v>0</v>
      </c>
      <c r="F752" s="342"/>
      <c r="G752" s="336">
        <v>0</v>
      </c>
      <c r="H752" s="336">
        <f t="shared" si="38"/>
        <v>0</v>
      </c>
      <c r="I752" s="336">
        <f t="shared" si="39"/>
        <v>0</v>
      </c>
      <c r="J752" s="336"/>
    </row>
    <row r="753" spans="1:10">
      <c r="A753" s="303">
        <v>16</v>
      </c>
      <c r="B753" s="309" t="s">
        <v>506</v>
      </c>
      <c r="C753" s="352" t="s">
        <v>714</v>
      </c>
      <c r="D753" s="355">
        <v>9</v>
      </c>
      <c r="E753" s="342">
        <f t="shared" si="40"/>
        <v>9</v>
      </c>
      <c r="F753" s="342"/>
      <c r="G753" s="336">
        <v>540104.64721076598</v>
      </c>
      <c r="H753" s="336">
        <f t="shared" si="38"/>
        <v>4860941.8248968935</v>
      </c>
      <c r="I753" s="336">
        <f t="shared" si="39"/>
        <v>4860941.8248968935</v>
      </c>
      <c r="J753" s="336"/>
    </row>
    <row r="754" spans="1:10">
      <c r="A754" s="303">
        <v>17</v>
      </c>
      <c r="B754" s="309" t="s">
        <v>508</v>
      </c>
      <c r="C754" s="352" t="s">
        <v>509</v>
      </c>
      <c r="D754" s="355">
        <v>2</v>
      </c>
      <c r="E754" s="342">
        <f t="shared" si="40"/>
        <v>2</v>
      </c>
      <c r="F754" s="342"/>
      <c r="G754" s="336">
        <v>592767.30985550093</v>
      </c>
      <c r="H754" s="336">
        <f t="shared" si="38"/>
        <v>1185534.6197110019</v>
      </c>
      <c r="I754" s="336">
        <f t="shared" si="39"/>
        <v>1185534.6197110019</v>
      </c>
      <c r="J754" s="336"/>
    </row>
    <row r="755" spans="1:10">
      <c r="A755" s="303">
        <v>18</v>
      </c>
      <c r="B755" s="309" t="s">
        <v>510</v>
      </c>
      <c r="C755" s="352" t="s">
        <v>504</v>
      </c>
      <c r="D755" s="355">
        <v>0.88900000000000001</v>
      </c>
      <c r="E755" s="342">
        <f t="shared" si="40"/>
        <v>0.88900000000000001</v>
      </c>
      <c r="F755" s="342"/>
      <c r="G755" s="336">
        <v>1490972.5879391199</v>
      </c>
      <c r="H755" s="336">
        <f t="shared" si="38"/>
        <v>1325474.6306778777</v>
      </c>
      <c r="I755" s="336">
        <f t="shared" si="39"/>
        <v>1325474.6306778777</v>
      </c>
      <c r="J755" s="336"/>
    </row>
    <row r="756" spans="1:10">
      <c r="A756" s="303">
        <v>19</v>
      </c>
      <c r="B756" s="309" t="s">
        <v>357</v>
      </c>
      <c r="C756" s="352" t="s">
        <v>326</v>
      </c>
      <c r="D756" s="355">
        <v>13.3</v>
      </c>
      <c r="E756" s="342">
        <f t="shared" si="40"/>
        <v>13.3</v>
      </c>
      <c r="F756" s="342"/>
      <c r="G756" s="336">
        <v>1754760.0458052719</v>
      </c>
      <c r="H756" s="336">
        <f t="shared" si="38"/>
        <v>23338308.609210119</v>
      </c>
      <c r="I756" s="336">
        <f t="shared" si="39"/>
        <v>23338308.609210119</v>
      </c>
      <c r="J756" s="336"/>
    </row>
    <row r="757" spans="1:10">
      <c r="A757" s="303">
        <v>20</v>
      </c>
      <c r="B757" s="309" t="s">
        <v>358</v>
      </c>
      <c r="C757" s="352" t="s">
        <v>323</v>
      </c>
      <c r="D757" s="355">
        <v>7.2</v>
      </c>
      <c r="E757" s="342">
        <f t="shared" si="40"/>
        <v>7.2</v>
      </c>
      <c r="F757" s="342"/>
      <c r="G757" s="336">
        <v>544091.62329219503</v>
      </c>
      <c r="H757" s="336">
        <f t="shared" si="38"/>
        <v>3917459.6877038041</v>
      </c>
      <c r="I757" s="336">
        <f t="shared" si="39"/>
        <v>3917459.6877038041</v>
      </c>
      <c r="J757" s="336"/>
    </row>
    <row r="758" spans="1:10">
      <c r="A758" s="310"/>
      <c r="B758" s="308" t="s">
        <v>597</v>
      </c>
      <c r="C758" s="352"/>
      <c r="D758" s="340"/>
      <c r="E758" s="342">
        <f t="shared" si="40"/>
        <v>0</v>
      </c>
      <c r="F758" s="342"/>
      <c r="G758" s="336"/>
      <c r="H758" s="336">
        <f t="shared" si="38"/>
        <v>0</v>
      </c>
      <c r="I758" s="336">
        <f t="shared" si="39"/>
        <v>0</v>
      </c>
      <c r="J758" s="336"/>
    </row>
    <row r="759" spans="1:10">
      <c r="A759" s="305"/>
      <c r="B759" s="308" t="s">
        <v>512</v>
      </c>
      <c r="C759" s="352"/>
      <c r="D759" s="340"/>
      <c r="E759" s="342">
        <f t="shared" si="40"/>
        <v>0</v>
      </c>
      <c r="F759" s="342"/>
      <c r="G759" s="336"/>
      <c r="H759" s="336">
        <f t="shared" si="38"/>
        <v>0</v>
      </c>
      <c r="I759" s="336">
        <f t="shared" si="39"/>
        <v>0</v>
      </c>
      <c r="J759" s="336"/>
    </row>
    <row r="760" spans="1:10" ht="33">
      <c r="A760" s="303">
        <v>21</v>
      </c>
      <c r="B760" s="307" t="s">
        <v>362</v>
      </c>
      <c r="C760" s="352" t="s">
        <v>324</v>
      </c>
      <c r="D760" s="355">
        <v>2.2000000000000002</v>
      </c>
      <c r="E760" s="342">
        <f t="shared" si="40"/>
        <v>2.2000000000000002</v>
      </c>
      <c r="F760" s="342"/>
      <c r="G760" s="336">
        <v>36335388.097262233</v>
      </c>
      <c r="H760" s="336">
        <f t="shared" si="38"/>
        <v>79937853.813976914</v>
      </c>
      <c r="I760" s="336">
        <f t="shared" si="39"/>
        <v>79937853.813976914</v>
      </c>
      <c r="J760" s="336"/>
    </row>
    <row r="761" spans="1:10" ht="33">
      <c r="A761" s="303">
        <v>22</v>
      </c>
      <c r="B761" s="307" t="s">
        <v>363</v>
      </c>
      <c r="C761" s="352" t="s">
        <v>324</v>
      </c>
      <c r="D761" s="355">
        <v>0.44</v>
      </c>
      <c r="E761" s="342">
        <f t="shared" si="40"/>
        <v>0.44</v>
      </c>
      <c r="F761" s="342"/>
      <c r="G761" s="336">
        <v>27251541.194615819</v>
      </c>
      <c r="H761" s="336">
        <f t="shared" si="38"/>
        <v>11990678.12563096</v>
      </c>
      <c r="I761" s="336">
        <f t="shared" si="39"/>
        <v>11990678.12563096</v>
      </c>
      <c r="J761" s="336"/>
    </row>
    <row r="762" spans="1:10">
      <c r="A762" s="303">
        <v>23</v>
      </c>
      <c r="B762" s="307" t="s">
        <v>513</v>
      </c>
      <c r="C762" s="352" t="s">
        <v>504</v>
      </c>
      <c r="D762" s="355">
        <v>12.090999999999999</v>
      </c>
      <c r="E762" s="342">
        <f t="shared" si="40"/>
        <v>12.090999999999999</v>
      </c>
      <c r="F762" s="342"/>
      <c r="G762" s="336">
        <v>1414136.3361682652</v>
      </c>
      <c r="H762" s="336">
        <f t="shared" si="38"/>
        <v>17098322.440610494</v>
      </c>
      <c r="I762" s="336">
        <f t="shared" si="39"/>
        <v>17098322.440610494</v>
      </c>
      <c r="J762" s="336"/>
    </row>
    <row r="763" spans="1:10">
      <c r="A763" s="303">
        <v>24</v>
      </c>
      <c r="B763" s="307" t="s">
        <v>380</v>
      </c>
      <c r="C763" s="352" t="s">
        <v>504</v>
      </c>
      <c r="D763" s="355">
        <v>0.68</v>
      </c>
      <c r="E763" s="342">
        <f t="shared" si="40"/>
        <v>0.68</v>
      </c>
      <c r="F763" s="342"/>
      <c r="G763" s="336">
        <v>9410025.444333382</v>
      </c>
      <c r="H763" s="336">
        <f t="shared" si="38"/>
        <v>6398817.3021467002</v>
      </c>
      <c r="I763" s="336">
        <f t="shared" si="39"/>
        <v>6398817.3021467002</v>
      </c>
      <c r="J763" s="336"/>
    </row>
    <row r="764" spans="1:10" ht="33">
      <c r="A764" s="303">
        <v>25</v>
      </c>
      <c r="B764" s="307" t="s">
        <v>514</v>
      </c>
      <c r="C764" s="352" t="s">
        <v>504</v>
      </c>
      <c r="D764" s="355">
        <v>0.59799999999999998</v>
      </c>
      <c r="E764" s="342">
        <f t="shared" si="40"/>
        <v>0.59799999999999998</v>
      </c>
      <c r="F764" s="342"/>
      <c r="G764" s="336">
        <v>1414136.3361682652</v>
      </c>
      <c r="H764" s="336">
        <f t="shared" si="38"/>
        <v>845653.52902862255</v>
      </c>
      <c r="I764" s="336">
        <f t="shared" si="39"/>
        <v>845653.52902862255</v>
      </c>
      <c r="J764" s="336"/>
    </row>
    <row r="765" spans="1:10">
      <c r="A765" s="303">
        <v>26</v>
      </c>
      <c r="B765" s="309" t="s">
        <v>515</v>
      </c>
      <c r="C765" s="352" t="s">
        <v>504</v>
      </c>
      <c r="D765" s="355">
        <v>8.2000000000000003E-2</v>
      </c>
      <c r="E765" s="342">
        <f t="shared" si="40"/>
        <v>8.2000000000000003E-2</v>
      </c>
      <c r="F765" s="342"/>
      <c r="G765" s="336">
        <v>19601430.430915311</v>
      </c>
      <c r="H765" s="336">
        <f t="shared" si="38"/>
        <v>1607317.2953350556</v>
      </c>
      <c r="I765" s="336">
        <f t="shared" si="39"/>
        <v>1607317.2953350556</v>
      </c>
      <c r="J765" s="336"/>
    </row>
    <row r="766" spans="1:10">
      <c r="A766" s="303">
        <v>27</v>
      </c>
      <c r="B766" s="307" t="s">
        <v>364</v>
      </c>
      <c r="C766" s="352" t="s">
        <v>504</v>
      </c>
      <c r="D766" s="355">
        <v>0.68</v>
      </c>
      <c r="E766" s="342">
        <f t="shared" si="40"/>
        <v>0.68</v>
      </c>
      <c r="F766" s="342"/>
      <c r="G766" s="336">
        <v>6080313.1193965599</v>
      </c>
      <c r="H766" s="336">
        <f t="shared" si="38"/>
        <v>4134612.9211896611</v>
      </c>
      <c r="I766" s="336">
        <f t="shared" si="39"/>
        <v>4134612.9211896611</v>
      </c>
      <c r="J766" s="336"/>
    </row>
    <row r="767" spans="1:10">
      <c r="A767" s="303">
        <v>28</v>
      </c>
      <c r="B767" s="307" t="s">
        <v>365</v>
      </c>
      <c r="C767" s="352" t="s">
        <v>504</v>
      </c>
      <c r="D767" s="355">
        <v>0.68</v>
      </c>
      <c r="E767" s="342">
        <f t="shared" si="40"/>
        <v>0.68</v>
      </c>
      <c r="F767" s="342"/>
      <c r="G767" s="336">
        <v>3640153.3282428598</v>
      </c>
      <c r="H767" s="336">
        <f t="shared" si="38"/>
        <v>2475304.263205145</v>
      </c>
      <c r="I767" s="336">
        <f t="shared" si="39"/>
        <v>2475304.263205145</v>
      </c>
      <c r="J767" s="336"/>
    </row>
    <row r="768" spans="1:10" ht="33">
      <c r="A768" s="303">
        <v>29</v>
      </c>
      <c r="B768" s="309" t="s">
        <v>351</v>
      </c>
      <c r="C768" s="352" t="s">
        <v>324</v>
      </c>
      <c r="D768" s="355">
        <v>10.220000000000001</v>
      </c>
      <c r="E768" s="342">
        <f t="shared" si="40"/>
        <v>10.220000000000001</v>
      </c>
      <c r="F768" s="342"/>
      <c r="G768" s="336">
        <v>5280236.9235888254</v>
      </c>
      <c r="H768" s="336">
        <f t="shared" si="38"/>
        <v>53964021.359077796</v>
      </c>
      <c r="I768" s="336">
        <f t="shared" si="39"/>
        <v>53964021.359077796</v>
      </c>
      <c r="J768" s="336"/>
    </row>
    <row r="769" spans="1:10">
      <c r="A769" s="303">
        <v>30</v>
      </c>
      <c r="B769" s="309" t="s">
        <v>354</v>
      </c>
      <c r="C769" s="352" t="s">
        <v>320</v>
      </c>
      <c r="D769" s="355">
        <v>0.78300000000000003</v>
      </c>
      <c r="E769" s="342">
        <f t="shared" si="40"/>
        <v>0.78300000000000003</v>
      </c>
      <c r="F769" s="342"/>
      <c r="G769" s="336">
        <v>19155571.308668852</v>
      </c>
      <c r="H769" s="336">
        <f t="shared" si="38"/>
        <v>14998812.334687712</v>
      </c>
      <c r="I769" s="336">
        <f t="shared" si="39"/>
        <v>14998812.334687712</v>
      </c>
      <c r="J769" s="336"/>
    </row>
    <row r="770" spans="1:10">
      <c r="A770" s="303">
        <v>31</v>
      </c>
      <c r="B770" s="307" t="s">
        <v>348</v>
      </c>
      <c r="C770" s="352" t="s">
        <v>322</v>
      </c>
      <c r="D770" s="355">
        <v>0.32900000000000001</v>
      </c>
      <c r="E770" s="342">
        <f t="shared" si="40"/>
        <v>0.32900000000000001</v>
      </c>
      <c r="F770" s="342"/>
      <c r="G770" s="336">
        <v>81099718.991999239</v>
      </c>
      <c r="H770" s="336">
        <f t="shared" si="38"/>
        <v>26681807.54836775</v>
      </c>
      <c r="I770" s="336">
        <f t="shared" si="39"/>
        <v>26681807.54836775</v>
      </c>
      <c r="J770" s="336"/>
    </row>
    <row r="771" spans="1:10">
      <c r="A771" s="303">
        <v>32</v>
      </c>
      <c r="B771" s="309" t="s">
        <v>349</v>
      </c>
      <c r="C771" s="352" t="s">
        <v>323</v>
      </c>
      <c r="D771" s="355">
        <v>71.05</v>
      </c>
      <c r="E771" s="342">
        <f t="shared" si="40"/>
        <v>71.05</v>
      </c>
      <c r="F771" s="342"/>
      <c r="G771" s="336">
        <v>499374.96253281418</v>
      </c>
      <c r="H771" s="336">
        <f t="shared" si="38"/>
        <v>35480591.087956443</v>
      </c>
      <c r="I771" s="336">
        <f t="shared" si="39"/>
        <v>35480591.087956443</v>
      </c>
      <c r="J771" s="336"/>
    </row>
    <row r="772" spans="1:10">
      <c r="A772" s="303">
        <v>33</v>
      </c>
      <c r="B772" s="309" t="s">
        <v>353</v>
      </c>
      <c r="C772" s="352" t="s">
        <v>325</v>
      </c>
      <c r="D772" s="355">
        <v>0.28599999999999998</v>
      </c>
      <c r="E772" s="342">
        <f t="shared" si="40"/>
        <v>0.28599999999999998</v>
      </c>
      <c r="F772" s="342"/>
      <c r="G772" s="336">
        <v>636406.25898883003</v>
      </c>
      <c r="H772" s="336">
        <f t="shared" si="38"/>
        <v>182012.19007080537</v>
      </c>
      <c r="I772" s="336">
        <f t="shared" si="39"/>
        <v>182012.19007080537</v>
      </c>
      <c r="J772" s="336"/>
    </row>
    <row r="773" spans="1:10">
      <c r="A773" s="303">
        <v>34</v>
      </c>
      <c r="B773" s="309" t="s">
        <v>396</v>
      </c>
      <c r="C773" s="352" t="s">
        <v>325</v>
      </c>
      <c r="D773" s="355">
        <v>0.78100000000000003</v>
      </c>
      <c r="E773" s="342">
        <f t="shared" si="40"/>
        <v>0.78100000000000003</v>
      </c>
      <c r="F773" s="342"/>
      <c r="G773" s="336">
        <v>2389507.7110639899</v>
      </c>
      <c r="H773" s="336">
        <f t="shared" si="38"/>
        <v>1866205.5223409762</v>
      </c>
      <c r="I773" s="336">
        <f t="shared" si="39"/>
        <v>1866205.5223409762</v>
      </c>
      <c r="J773" s="336"/>
    </row>
    <row r="774" spans="1:10">
      <c r="A774" s="303">
        <v>35</v>
      </c>
      <c r="B774" s="307" t="s">
        <v>366</v>
      </c>
      <c r="C774" s="352" t="s">
        <v>324</v>
      </c>
      <c r="D774" s="355">
        <v>2.2000000000000002</v>
      </c>
      <c r="E774" s="342">
        <f t="shared" si="40"/>
        <v>2.2000000000000002</v>
      </c>
      <c r="F774" s="342"/>
      <c r="G774" s="336">
        <v>10347238.214029023</v>
      </c>
      <c r="H774" s="336">
        <f t="shared" si="38"/>
        <v>22763924.070863854</v>
      </c>
      <c r="I774" s="336">
        <f t="shared" si="39"/>
        <v>22763924.070863854</v>
      </c>
      <c r="J774" s="336"/>
    </row>
    <row r="775" spans="1:10" ht="33">
      <c r="A775" s="303">
        <v>36</v>
      </c>
      <c r="B775" s="309" t="s">
        <v>355</v>
      </c>
      <c r="C775" s="352" t="s">
        <v>324</v>
      </c>
      <c r="D775" s="355">
        <v>10.220000000000001</v>
      </c>
      <c r="E775" s="342">
        <f t="shared" si="40"/>
        <v>10.220000000000001</v>
      </c>
      <c r="F775" s="342"/>
      <c r="G775" s="336">
        <v>1146906.249142335</v>
      </c>
      <c r="H775" s="336">
        <f t="shared" si="38"/>
        <v>11721381.866234664</v>
      </c>
      <c r="I775" s="336">
        <f t="shared" si="39"/>
        <v>11721381.866234664</v>
      </c>
      <c r="J775" s="336"/>
    </row>
    <row r="776" spans="1:10">
      <c r="A776" s="303">
        <v>37</v>
      </c>
      <c r="B776" s="309" t="s">
        <v>517</v>
      </c>
      <c r="C776" s="352" t="s">
        <v>321</v>
      </c>
      <c r="D776" s="355">
        <v>2.363</v>
      </c>
      <c r="E776" s="342">
        <f t="shared" si="40"/>
        <v>2.363</v>
      </c>
      <c r="F776" s="342"/>
      <c r="G776" s="336">
        <v>869256.05268892506</v>
      </c>
      <c r="H776" s="336">
        <f t="shared" si="38"/>
        <v>2054052.0525039299</v>
      </c>
      <c r="I776" s="336">
        <f t="shared" si="39"/>
        <v>2054052.0525039299</v>
      </c>
      <c r="J776" s="336"/>
    </row>
    <row r="777" spans="1:10">
      <c r="A777" s="310"/>
      <c r="B777" s="308" t="s">
        <v>518</v>
      </c>
      <c r="C777" s="373"/>
      <c r="D777" s="355">
        <v>0</v>
      </c>
      <c r="E777" s="342">
        <f t="shared" si="40"/>
        <v>0</v>
      </c>
      <c r="F777" s="342"/>
      <c r="G777" s="336">
        <v>0</v>
      </c>
      <c r="H777" s="336">
        <f t="shared" si="38"/>
        <v>0</v>
      </c>
      <c r="I777" s="336">
        <f t="shared" si="39"/>
        <v>0</v>
      </c>
      <c r="J777" s="336"/>
    </row>
    <row r="778" spans="1:10" ht="33">
      <c r="A778" s="303">
        <v>38</v>
      </c>
      <c r="B778" s="307" t="s">
        <v>362</v>
      </c>
      <c r="C778" s="352" t="s">
        <v>324</v>
      </c>
      <c r="D778" s="355">
        <v>6.6589999999999998</v>
      </c>
      <c r="E778" s="342">
        <f t="shared" si="40"/>
        <v>6.6589999999999998</v>
      </c>
      <c r="F778" s="342"/>
      <c r="G778" s="336">
        <v>36335388.097262233</v>
      </c>
      <c r="H778" s="336">
        <f t="shared" si="38"/>
        <v>241957349.3396692</v>
      </c>
      <c r="I778" s="336">
        <f t="shared" si="39"/>
        <v>241957349.3396692</v>
      </c>
      <c r="J778" s="336"/>
    </row>
    <row r="779" spans="1:10" ht="33">
      <c r="A779" s="303">
        <v>39</v>
      </c>
      <c r="B779" s="307" t="s">
        <v>363</v>
      </c>
      <c r="C779" s="352" t="s">
        <v>324</v>
      </c>
      <c r="D779" s="355">
        <v>1.6220000000000001</v>
      </c>
      <c r="E779" s="342">
        <f t="shared" si="40"/>
        <v>1.6220000000000001</v>
      </c>
      <c r="F779" s="342"/>
      <c r="G779" s="336">
        <v>27251541.194615819</v>
      </c>
      <c r="H779" s="336">
        <f t="shared" si="38"/>
        <v>44201999.817666858</v>
      </c>
      <c r="I779" s="336">
        <f t="shared" si="39"/>
        <v>44201999.817666858</v>
      </c>
      <c r="J779" s="336"/>
    </row>
    <row r="780" spans="1:10">
      <c r="A780" s="303">
        <v>40</v>
      </c>
      <c r="B780" s="307" t="s">
        <v>513</v>
      </c>
      <c r="C780" s="352" t="s">
        <v>504</v>
      </c>
      <c r="D780" s="355">
        <v>37.921999999999997</v>
      </c>
      <c r="E780" s="342">
        <f t="shared" si="40"/>
        <v>37.921999999999997</v>
      </c>
      <c r="F780" s="342"/>
      <c r="G780" s="336">
        <v>1414136.3361682652</v>
      </c>
      <c r="H780" s="336">
        <f t="shared" si="38"/>
        <v>53626878.140172951</v>
      </c>
      <c r="I780" s="336">
        <f t="shared" si="39"/>
        <v>53626878.140172951</v>
      </c>
      <c r="J780" s="336"/>
    </row>
    <row r="781" spans="1:10">
      <c r="A781" s="303">
        <v>41</v>
      </c>
      <c r="B781" s="307" t="s">
        <v>380</v>
      </c>
      <c r="C781" s="352" t="s">
        <v>504</v>
      </c>
      <c r="D781" s="355">
        <v>2.0950000000000002</v>
      </c>
      <c r="E781" s="342">
        <f t="shared" si="40"/>
        <v>2.0950000000000002</v>
      </c>
      <c r="F781" s="342"/>
      <c r="G781" s="336">
        <v>9410025.444333382</v>
      </c>
      <c r="H781" s="336">
        <f t="shared" si="38"/>
        <v>19714003.305878438</v>
      </c>
      <c r="I781" s="336">
        <f t="shared" si="39"/>
        <v>19714003.305878438</v>
      </c>
      <c r="J781" s="336"/>
    </row>
    <row r="782" spans="1:10" ht="33">
      <c r="A782" s="303">
        <v>42</v>
      </c>
      <c r="B782" s="307" t="s">
        <v>514</v>
      </c>
      <c r="C782" s="352" t="s">
        <v>504</v>
      </c>
      <c r="D782" s="355">
        <v>1.85</v>
      </c>
      <c r="E782" s="342">
        <f t="shared" si="40"/>
        <v>1.85</v>
      </c>
      <c r="F782" s="342"/>
      <c r="G782" s="336">
        <v>1414136.3361682652</v>
      </c>
      <c r="H782" s="336">
        <f t="shared" si="38"/>
        <v>2616152.2219112907</v>
      </c>
      <c r="I782" s="336">
        <f t="shared" si="39"/>
        <v>2616152.2219112907</v>
      </c>
      <c r="J782" s="336"/>
    </row>
    <row r="783" spans="1:10">
      <c r="A783" s="303">
        <v>43</v>
      </c>
      <c r="B783" s="309" t="s">
        <v>515</v>
      </c>
      <c r="C783" s="352" t="s">
        <v>504</v>
      </c>
      <c r="D783" s="355">
        <v>0.245</v>
      </c>
      <c r="E783" s="342">
        <f t="shared" si="40"/>
        <v>0.245</v>
      </c>
      <c r="F783" s="342"/>
      <c r="G783" s="336">
        <v>19601430.430915311</v>
      </c>
      <c r="H783" s="336">
        <f t="shared" si="38"/>
        <v>4802350.4555742508</v>
      </c>
      <c r="I783" s="336">
        <f t="shared" si="39"/>
        <v>4802350.4555742508</v>
      </c>
      <c r="J783" s="336"/>
    </row>
    <row r="784" spans="1:10">
      <c r="A784" s="303">
        <v>44</v>
      </c>
      <c r="B784" s="307" t="s">
        <v>364</v>
      </c>
      <c r="C784" s="352" t="s">
        <v>504</v>
      </c>
      <c r="D784" s="355">
        <v>2.0950000000000002</v>
      </c>
      <c r="E784" s="342">
        <f t="shared" si="40"/>
        <v>2.0950000000000002</v>
      </c>
      <c r="F784" s="342"/>
      <c r="G784" s="336">
        <v>6080313.1193965599</v>
      </c>
      <c r="H784" s="336">
        <f t="shared" si="38"/>
        <v>12738255.985135794</v>
      </c>
      <c r="I784" s="336">
        <f t="shared" si="39"/>
        <v>12738255.985135794</v>
      </c>
      <c r="J784" s="336"/>
    </row>
    <row r="785" spans="1:10">
      <c r="A785" s="303">
        <v>45</v>
      </c>
      <c r="B785" s="307" t="s">
        <v>365</v>
      </c>
      <c r="C785" s="352" t="s">
        <v>504</v>
      </c>
      <c r="D785" s="355">
        <v>2.0950000000000002</v>
      </c>
      <c r="E785" s="342">
        <f t="shared" si="40"/>
        <v>2.0950000000000002</v>
      </c>
      <c r="F785" s="342"/>
      <c r="G785" s="336">
        <v>3640153.3282428598</v>
      </c>
      <c r="H785" s="336">
        <f t="shared" si="38"/>
        <v>7626121.2226687921</v>
      </c>
      <c r="I785" s="336">
        <f t="shared" si="39"/>
        <v>7626121.2226687921</v>
      </c>
      <c r="J785" s="336"/>
    </row>
    <row r="786" spans="1:10" ht="33">
      <c r="A786" s="303">
        <v>46</v>
      </c>
      <c r="B786" s="309" t="s">
        <v>351</v>
      </c>
      <c r="C786" s="352" t="s">
        <v>324</v>
      </c>
      <c r="D786" s="355">
        <v>32.69</v>
      </c>
      <c r="E786" s="342">
        <f t="shared" si="40"/>
        <v>32.69</v>
      </c>
      <c r="F786" s="342"/>
      <c r="G786" s="336">
        <v>5280236.9235888254</v>
      </c>
      <c r="H786" s="336">
        <f t="shared" si="38"/>
        <v>172610945.03211868</v>
      </c>
      <c r="I786" s="336">
        <f t="shared" si="39"/>
        <v>172610945.03211868</v>
      </c>
      <c r="J786" s="336"/>
    </row>
    <row r="787" spans="1:10">
      <c r="A787" s="303">
        <v>47</v>
      </c>
      <c r="B787" s="309" t="s">
        <v>354</v>
      </c>
      <c r="C787" s="352" t="s">
        <v>320</v>
      </c>
      <c r="D787" s="355">
        <v>3.0819999999999999</v>
      </c>
      <c r="E787" s="342">
        <f t="shared" si="40"/>
        <v>3.0819999999999999</v>
      </c>
      <c r="F787" s="342"/>
      <c r="G787" s="336">
        <v>19155571.308668852</v>
      </c>
      <c r="H787" s="336">
        <f t="shared" si="38"/>
        <v>59037470.773317397</v>
      </c>
      <c r="I787" s="336">
        <f t="shared" si="39"/>
        <v>59037470.773317397</v>
      </c>
      <c r="J787" s="336"/>
    </row>
    <row r="788" spans="1:10">
      <c r="A788" s="303">
        <v>48</v>
      </c>
      <c r="B788" s="309" t="s">
        <v>713</v>
      </c>
      <c r="C788" s="352" t="s">
        <v>323</v>
      </c>
      <c r="D788" s="355">
        <v>235.28</v>
      </c>
      <c r="E788" s="342">
        <f t="shared" si="40"/>
        <v>235.28</v>
      </c>
      <c r="F788" s="342"/>
      <c r="G788" s="336">
        <v>499374.96253281418</v>
      </c>
      <c r="H788" s="336">
        <f t="shared" si="38"/>
        <v>117492941.18472052</v>
      </c>
      <c r="I788" s="336">
        <f t="shared" si="39"/>
        <v>117492941.18472052</v>
      </c>
      <c r="J788" s="336"/>
    </row>
    <row r="789" spans="1:10">
      <c r="A789" s="303">
        <v>49</v>
      </c>
      <c r="B789" s="309" t="s">
        <v>353</v>
      </c>
      <c r="C789" s="352" t="s">
        <v>325</v>
      </c>
      <c r="D789" s="355">
        <v>2.2000000000000002</v>
      </c>
      <c r="E789" s="342">
        <f t="shared" si="40"/>
        <v>2.2000000000000002</v>
      </c>
      <c r="F789" s="342"/>
      <c r="G789" s="336">
        <v>636406.25898883003</v>
      </c>
      <c r="H789" s="336">
        <f t="shared" si="38"/>
        <v>1400093.7697754262</v>
      </c>
      <c r="I789" s="336">
        <f t="shared" si="39"/>
        <v>1400093.7697754262</v>
      </c>
      <c r="J789" s="336"/>
    </row>
    <row r="790" spans="1:10">
      <c r="A790" s="303">
        <v>50</v>
      </c>
      <c r="B790" s="309" t="s">
        <v>396</v>
      </c>
      <c r="C790" s="352" t="s">
        <v>325</v>
      </c>
      <c r="D790" s="355">
        <v>2.7109999999999999</v>
      </c>
      <c r="E790" s="342">
        <f t="shared" si="40"/>
        <v>2.7109999999999999</v>
      </c>
      <c r="F790" s="342"/>
      <c r="G790" s="336">
        <v>2389507.7110639899</v>
      </c>
      <c r="H790" s="336">
        <f t="shared" si="38"/>
        <v>6477955.4046944762</v>
      </c>
      <c r="I790" s="336">
        <f t="shared" si="39"/>
        <v>6477955.4046944762</v>
      </c>
      <c r="J790" s="336"/>
    </row>
    <row r="791" spans="1:10">
      <c r="A791" s="303">
        <v>51</v>
      </c>
      <c r="B791" s="307" t="s">
        <v>366</v>
      </c>
      <c r="C791" s="352" t="s">
        <v>324</v>
      </c>
      <c r="D791" s="355">
        <v>6.6589999999999998</v>
      </c>
      <c r="E791" s="342">
        <f t="shared" si="40"/>
        <v>6.6589999999999998</v>
      </c>
      <c r="F791" s="342"/>
      <c r="G791" s="336">
        <v>10347238.214029023</v>
      </c>
      <c r="H791" s="336">
        <f t="shared" si="38"/>
        <v>68902259.26721926</v>
      </c>
      <c r="I791" s="336">
        <f t="shared" si="39"/>
        <v>68902259.26721926</v>
      </c>
      <c r="J791" s="336"/>
    </row>
    <row r="792" spans="1:10" ht="33">
      <c r="A792" s="303">
        <v>52</v>
      </c>
      <c r="B792" s="309" t="s">
        <v>355</v>
      </c>
      <c r="C792" s="352" t="s">
        <v>324</v>
      </c>
      <c r="D792" s="355">
        <v>32.69</v>
      </c>
      <c r="E792" s="342">
        <f t="shared" si="40"/>
        <v>32.69</v>
      </c>
      <c r="F792" s="342"/>
      <c r="G792" s="336">
        <v>1146906.249142335</v>
      </c>
      <c r="H792" s="336">
        <f t="shared" si="38"/>
        <v>37492365.284462929</v>
      </c>
      <c r="I792" s="336">
        <f t="shared" si="39"/>
        <v>37492365.284462929</v>
      </c>
      <c r="J792" s="336"/>
    </row>
    <row r="793" spans="1:10">
      <c r="A793" s="303">
        <v>53</v>
      </c>
      <c r="B793" s="309" t="s">
        <v>517</v>
      </c>
      <c r="C793" s="352" t="s">
        <v>321</v>
      </c>
      <c r="D793" s="355">
        <v>4.6109999999999998</v>
      </c>
      <c r="E793" s="342">
        <f t="shared" si="40"/>
        <v>4.6109999999999998</v>
      </c>
      <c r="F793" s="342"/>
      <c r="G793" s="336">
        <v>869256.05268892506</v>
      </c>
      <c r="H793" s="336">
        <f t="shared" si="38"/>
        <v>4008139.6589486334</v>
      </c>
      <c r="I793" s="336">
        <f t="shared" si="39"/>
        <v>4008139.6589486334</v>
      </c>
      <c r="J793" s="336"/>
    </row>
    <row r="794" spans="1:10">
      <c r="A794" s="303">
        <v>54</v>
      </c>
      <c r="B794" s="309" t="s">
        <v>438</v>
      </c>
      <c r="C794" s="352" t="s">
        <v>509</v>
      </c>
      <c r="D794" s="355">
        <v>66</v>
      </c>
      <c r="E794" s="342">
        <f t="shared" si="40"/>
        <v>66</v>
      </c>
      <c r="F794" s="342"/>
      <c r="G794" s="336">
        <v>96127.503237292985</v>
      </c>
      <c r="H794" s="336">
        <f t="shared" si="38"/>
        <v>6344415.2136613373</v>
      </c>
      <c r="I794" s="336">
        <f t="shared" si="39"/>
        <v>6344415.2136613373</v>
      </c>
      <c r="J794" s="336"/>
    </row>
    <row r="795" spans="1:10">
      <c r="A795" s="303">
        <v>55</v>
      </c>
      <c r="B795" s="307" t="s">
        <v>516</v>
      </c>
      <c r="C795" s="352" t="s">
        <v>328</v>
      </c>
      <c r="D795" s="355">
        <v>1.85</v>
      </c>
      <c r="E795" s="342">
        <f t="shared" si="40"/>
        <v>1.85</v>
      </c>
      <c r="F795" s="342"/>
      <c r="G795" s="336">
        <v>1913905.107270387</v>
      </c>
      <c r="H795" s="336">
        <f t="shared" si="38"/>
        <v>3540724.4484502161</v>
      </c>
      <c r="I795" s="336">
        <f t="shared" si="39"/>
        <v>3540724.4484502161</v>
      </c>
      <c r="J795" s="336"/>
    </row>
    <row r="796" spans="1:10">
      <c r="A796" s="311"/>
      <c r="B796" s="312" t="s">
        <v>712</v>
      </c>
      <c r="C796" s="370" t="s">
        <v>318</v>
      </c>
      <c r="D796" s="355">
        <v>0</v>
      </c>
      <c r="E796" s="342">
        <f t="shared" si="40"/>
        <v>0</v>
      </c>
      <c r="F796" s="342"/>
      <c r="G796" s="336">
        <v>0</v>
      </c>
      <c r="H796" s="336">
        <f t="shared" si="38"/>
        <v>0</v>
      </c>
      <c r="I796" s="336">
        <f t="shared" si="39"/>
        <v>0</v>
      </c>
      <c r="J796" s="336"/>
    </row>
    <row r="797" spans="1:10">
      <c r="A797" s="303">
        <v>56</v>
      </c>
      <c r="B797" s="307" t="s">
        <v>384</v>
      </c>
      <c r="C797" s="352" t="s">
        <v>30</v>
      </c>
      <c r="D797" s="355">
        <v>436.08</v>
      </c>
      <c r="E797" s="342">
        <f t="shared" si="40"/>
        <v>436.08</v>
      </c>
      <c r="F797" s="342"/>
      <c r="G797" s="336">
        <v>125964.79169214601</v>
      </c>
      <c r="H797" s="336">
        <f t="shared" si="38"/>
        <v>54930726.36111103</v>
      </c>
      <c r="I797" s="336">
        <f t="shared" si="39"/>
        <v>54930726.36111103</v>
      </c>
      <c r="J797" s="336"/>
    </row>
    <row r="798" spans="1:10">
      <c r="A798" s="303">
        <v>57</v>
      </c>
      <c r="B798" s="307" t="s">
        <v>519</v>
      </c>
      <c r="C798" s="352" t="s">
        <v>320</v>
      </c>
      <c r="D798" s="355">
        <v>8.0909999999999993</v>
      </c>
      <c r="E798" s="342">
        <f t="shared" si="40"/>
        <v>8.0909999999999993</v>
      </c>
      <c r="F798" s="342"/>
      <c r="G798" s="336">
        <v>1972724.2284497223</v>
      </c>
      <c r="H798" s="336">
        <f t="shared" ref="H798:H861" si="41">D798*G798</f>
        <v>15961311.732386701</v>
      </c>
      <c r="I798" s="336">
        <f t="shared" ref="I798:I861" si="42">E798*G798</f>
        <v>15961311.732386701</v>
      </c>
      <c r="J798" s="336"/>
    </row>
    <row r="799" spans="1:10" ht="34.5">
      <c r="A799" s="303"/>
      <c r="B799" s="312" t="s">
        <v>711</v>
      </c>
      <c r="C799" s="352"/>
      <c r="D799" s="355">
        <v>0</v>
      </c>
      <c r="E799" s="342">
        <f t="shared" ref="E799:E862" si="43">D799</f>
        <v>0</v>
      </c>
      <c r="F799" s="342"/>
      <c r="G799" s="336">
        <v>0</v>
      </c>
      <c r="H799" s="336">
        <f t="shared" si="41"/>
        <v>0</v>
      </c>
      <c r="I799" s="336">
        <f t="shared" si="42"/>
        <v>0</v>
      </c>
      <c r="J799" s="336"/>
    </row>
    <row r="800" spans="1:10" ht="33">
      <c r="A800" s="303">
        <v>58</v>
      </c>
      <c r="B800" s="313" t="s">
        <v>521</v>
      </c>
      <c r="C800" s="352" t="s">
        <v>70</v>
      </c>
      <c r="D800" s="355">
        <v>11.420999999999999</v>
      </c>
      <c r="E800" s="342">
        <f t="shared" si="43"/>
        <v>11.420999999999999</v>
      </c>
      <c r="F800" s="342"/>
      <c r="G800" s="336">
        <v>641833.43269227596</v>
      </c>
      <c r="H800" s="336">
        <f t="shared" si="41"/>
        <v>7330379.6347784838</v>
      </c>
      <c r="I800" s="336">
        <f t="shared" si="42"/>
        <v>7330379.6347784838</v>
      </c>
      <c r="J800" s="336"/>
    </row>
    <row r="801" spans="1:10" ht="33">
      <c r="A801" s="303">
        <v>59</v>
      </c>
      <c r="B801" s="313" t="s">
        <v>522</v>
      </c>
      <c r="C801" s="352" t="s">
        <v>70</v>
      </c>
      <c r="D801" s="355">
        <v>11.420999999999999</v>
      </c>
      <c r="E801" s="342">
        <f t="shared" si="43"/>
        <v>11.420999999999999</v>
      </c>
      <c r="F801" s="342"/>
      <c r="G801" s="336">
        <v>2721373.5550778592</v>
      </c>
      <c r="H801" s="336">
        <f t="shared" si="41"/>
        <v>31080807.372544229</v>
      </c>
      <c r="I801" s="336">
        <f t="shared" si="42"/>
        <v>31080807.372544229</v>
      </c>
      <c r="J801" s="336"/>
    </row>
    <row r="802" spans="1:10" ht="33">
      <c r="A802" s="303">
        <v>60</v>
      </c>
      <c r="B802" s="313" t="s">
        <v>710</v>
      </c>
      <c r="C802" s="352" t="s">
        <v>70</v>
      </c>
      <c r="D802" s="355">
        <v>11.420999999999999</v>
      </c>
      <c r="E802" s="342">
        <f t="shared" si="43"/>
        <v>11.420999999999999</v>
      </c>
      <c r="F802" s="342"/>
      <c r="G802" s="336">
        <v>5853520.5022120094</v>
      </c>
      <c r="H802" s="336">
        <f t="shared" si="41"/>
        <v>66853057.655763358</v>
      </c>
      <c r="I802" s="336">
        <f t="shared" si="42"/>
        <v>66853057.655763358</v>
      </c>
      <c r="J802" s="336"/>
    </row>
    <row r="803" spans="1:10">
      <c r="A803" s="303">
        <v>61</v>
      </c>
      <c r="B803" s="307" t="s">
        <v>385</v>
      </c>
      <c r="C803" s="352" t="s">
        <v>322</v>
      </c>
      <c r="D803" s="355">
        <v>11.420999999999999</v>
      </c>
      <c r="E803" s="342">
        <f t="shared" si="43"/>
        <v>11.420999999999999</v>
      </c>
      <c r="F803" s="342"/>
      <c r="G803" s="336">
        <v>216467.65221015</v>
      </c>
      <c r="H803" s="336">
        <f t="shared" si="41"/>
        <v>2472277.0558921229</v>
      </c>
      <c r="I803" s="336">
        <f t="shared" si="42"/>
        <v>2472277.0558921229</v>
      </c>
      <c r="J803" s="336"/>
    </row>
    <row r="804" spans="1:10" ht="33">
      <c r="A804" s="303">
        <v>62</v>
      </c>
      <c r="B804" s="309" t="s">
        <v>709</v>
      </c>
      <c r="C804" s="352" t="s">
        <v>320</v>
      </c>
      <c r="D804" s="355">
        <v>0.77900000000000003</v>
      </c>
      <c r="E804" s="342">
        <f t="shared" si="43"/>
        <v>0.77900000000000003</v>
      </c>
      <c r="F804" s="342"/>
      <c r="G804" s="336">
        <v>3782584.3348013824</v>
      </c>
      <c r="H804" s="336">
        <f t="shared" si="41"/>
        <v>2946633.1968102772</v>
      </c>
      <c r="I804" s="336">
        <f t="shared" si="42"/>
        <v>2946633.1968102772</v>
      </c>
      <c r="J804" s="336"/>
    </row>
    <row r="805" spans="1:10">
      <c r="A805" s="303">
        <v>63</v>
      </c>
      <c r="B805" s="309" t="s">
        <v>354</v>
      </c>
      <c r="C805" s="352" t="s">
        <v>320</v>
      </c>
      <c r="D805" s="355">
        <v>6.7050000000000001</v>
      </c>
      <c r="E805" s="342">
        <f t="shared" si="43"/>
        <v>6.7050000000000001</v>
      </c>
      <c r="F805" s="342"/>
      <c r="G805" s="336">
        <v>19155571.308668852</v>
      </c>
      <c r="H805" s="336">
        <f t="shared" si="41"/>
        <v>128438105.62462465</v>
      </c>
      <c r="I805" s="336">
        <f t="shared" si="42"/>
        <v>128438105.62462465</v>
      </c>
      <c r="J805" s="336"/>
    </row>
    <row r="806" spans="1:10">
      <c r="A806" s="303">
        <v>64</v>
      </c>
      <c r="B806" s="309" t="s">
        <v>396</v>
      </c>
      <c r="C806" s="352" t="s">
        <v>325</v>
      </c>
      <c r="D806" s="355">
        <v>3.5979999999999999</v>
      </c>
      <c r="E806" s="342">
        <f t="shared" si="43"/>
        <v>3.5979999999999999</v>
      </c>
      <c r="F806" s="342"/>
      <c r="G806" s="336">
        <v>2389507.7110639899</v>
      </c>
      <c r="H806" s="336">
        <f t="shared" si="41"/>
        <v>8597448.744408235</v>
      </c>
      <c r="I806" s="336">
        <f t="shared" si="42"/>
        <v>8597448.744408235</v>
      </c>
      <c r="J806" s="336"/>
    </row>
    <row r="807" spans="1:10">
      <c r="A807" s="303"/>
      <c r="B807" s="308" t="s">
        <v>526</v>
      </c>
      <c r="C807" s="352"/>
      <c r="D807" s="355">
        <v>0</v>
      </c>
      <c r="E807" s="342">
        <f t="shared" si="43"/>
        <v>0</v>
      </c>
      <c r="F807" s="342"/>
      <c r="G807" s="336"/>
      <c r="H807" s="336">
        <f t="shared" si="41"/>
        <v>0</v>
      </c>
      <c r="I807" s="336">
        <f t="shared" si="42"/>
        <v>0</v>
      </c>
      <c r="J807" s="336"/>
    </row>
    <row r="808" spans="1:10" ht="33">
      <c r="A808" s="305">
        <v>65</v>
      </c>
      <c r="B808" s="309" t="s">
        <v>527</v>
      </c>
      <c r="C808" s="352" t="s">
        <v>324</v>
      </c>
      <c r="D808" s="355">
        <v>1.28</v>
      </c>
      <c r="E808" s="342">
        <f t="shared" si="43"/>
        <v>1.28</v>
      </c>
      <c r="F808" s="342"/>
      <c r="G808" s="336">
        <v>99682971.680002213</v>
      </c>
      <c r="H808" s="336">
        <f t="shared" si="41"/>
        <v>127594203.75040284</v>
      </c>
      <c r="I808" s="336">
        <f t="shared" si="42"/>
        <v>127594203.75040284</v>
      </c>
      <c r="J808" s="336"/>
    </row>
    <row r="809" spans="1:10" ht="33">
      <c r="A809" s="305">
        <v>66</v>
      </c>
      <c r="B809" s="309" t="s">
        <v>528</v>
      </c>
      <c r="C809" s="352" t="s">
        <v>324</v>
      </c>
      <c r="D809" s="355">
        <v>0.64</v>
      </c>
      <c r="E809" s="342">
        <f t="shared" si="43"/>
        <v>0.64</v>
      </c>
      <c r="F809" s="342"/>
      <c r="G809" s="336">
        <v>99217726.040167078</v>
      </c>
      <c r="H809" s="336">
        <f t="shared" si="41"/>
        <v>63499344.665706933</v>
      </c>
      <c r="I809" s="336">
        <f t="shared" si="42"/>
        <v>63499344.665706933</v>
      </c>
      <c r="J809" s="336"/>
    </row>
    <row r="810" spans="1:10" ht="34.5">
      <c r="A810" s="311"/>
      <c r="B810" s="312" t="s">
        <v>708</v>
      </c>
      <c r="C810" s="370" t="s">
        <v>318</v>
      </c>
      <c r="D810" s="355">
        <v>0</v>
      </c>
      <c r="E810" s="342">
        <f t="shared" si="43"/>
        <v>0</v>
      </c>
      <c r="F810" s="342"/>
      <c r="G810" s="336">
        <v>0</v>
      </c>
      <c r="H810" s="336">
        <f t="shared" si="41"/>
        <v>0</v>
      </c>
      <c r="I810" s="336">
        <f t="shared" si="42"/>
        <v>0</v>
      </c>
      <c r="J810" s="336"/>
    </row>
    <row r="811" spans="1:10">
      <c r="A811" s="314"/>
      <c r="B811" s="312" t="s">
        <v>599</v>
      </c>
      <c r="C811" s="370" t="s">
        <v>318</v>
      </c>
      <c r="D811" s="355">
        <v>0</v>
      </c>
      <c r="E811" s="342">
        <f t="shared" si="43"/>
        <v>0</v>
      </c>
      <c r="F811" s="342"/>
      <c r="G811" s="336">
        <v>0</v>
      </c>
      <c r="H811" s="336">
        <f t="shared" si="41"/>
        <v>0</v>
      </c>
      <c r="I811" s="336">
        <f t="shared" si="42"/>
        <v>0</v>
      </c>
      <c r="J811" s="336"/>
    </row>
    <row r="812" spans="1:10">
      <c r="A812" s="305">
        <v>67</v>
      </c>
      <c r="B812" s="309" t="s">
        <v>368</v>
      </c>
      <c r="C812" s="352" t="s">
        <v>323</v>
      </c>
      <c r="D812" s="355">
        <v>7.94</v>
      </c>
      <c r="E812" s="342">
        <f t="shared" si="43"/>
        <v>7.94</v>
      </c>
      <c r="F812" s="342"/>
      <c r="G812" s="336">
        <v>2051880.3465472069</v>
      </c>
      <c r="H812" s="336">
        <f t="shared" si="41"/>
        <v>16291929.951584823</v>
      </c>
      <c r="I812" s="336">
        <f t="shared" si="42"/>
        <v>16291929.951584823</v>
      </c>
      <c r="J812" s="336"/>
    </row>
    <row r="813" spans="1:10">
      <c r="A813" s="305">
        <v>68</v>
      </c>
      <c r="B813" s="309" t="s">
        <v>369</v>
      </c>
      <c r="C813" s="352" t="s">
        <v>504</v>
      </c>
      <c r="D813" s="355">
        <v>0.20300000000000001</v>
      </c>
      <c r="E813" s="342">
        <f t="shared" si="43"/>
        <v>0.20300000000000001</v>
      </c>
      <c r="F813" s="342"/>
      <c r="G813" s="336">
        <v>23642582.73910309</v>
      </c>
      <c r="H813" s="336">
        <f t="shared" si="41"/>
        <v>4799444.2960379273</v>
      </c>
      <c r="I813" s="336">
        <f t="shared" si="42"/>
        <v>4799444.2960379273</v>
      </c>
      <c r="J813" s="336"/>
    </row>
    <row r="814" spans="1:10">
      <c r="A814" s="305">
        <v>69</v>
      </c>
      <c r="B814" s="309" t="s">
        <v>370</v>
      </c>
      <c r="C814" s="352" t="s">
        <v>504</v>
      </c>
      <c r="D814" s="355">
        <v>0.89300000000000002</v>
      </c>
      <c r="E814" s="342">
        <f t="shared" si="43"/>
        <v>0.89300000000000002</v>
      </c>
      <c r="F814" s="342"/>
      <c r="G814" s="336">
        <v>22847031.418649137</v>
      </c>
      <c r="H814" s="336">
        <f t="shared" si="41"/>
        <v>20402399.056853678</v>
      </c>
      <c r="I814" s="336">
        <f t="shared" si="42"/>
        <v>20402399.056853678</v>
      </c>
      <c r="J814" s="336"/>
    </row>
    <row r="815" spans="1:10">
      <c r="A815" s="305">
        <v>70</v>
      </c>
      <c r="B815" s="307" t="s">
        <v>371</v>
      </c>
      <c r="C815" s="352" t="s">
        <v>319</v>
      </c>
      <c r="D815" s="355">
        <v>0.36899999999999999</v>
      </c>
      <c r="E815" s="342">
        <f t="shared" si="43"/>
        <v>0.36899999999999999</v>
      </c>
      <c r="F815" s="342"/>
      <c r="G815" s="336">
        <v>7047065.69649731</v>
      </c>
      <c r="H815" s="336">
        <f t="shared" si="41"/>
        <v>2600367.2420075075</v>
      </c>
      <c r="I815" s="336">
        <f t="shared" si="42"/>
        <v>2600367.2420075075</v>
      </c>
      <c r="J815" s="336"/>
    </row>
    <row r="816" spans="1:10">
      <c r="A816" s="305">
        <v>71</v>
      </c>
      <c r="B816" s="309" t="s">
        <v>372</v>
      </c>
      <c r="C816" s="352" t="s">
        <v>504</v>
      </c>
      <c r="D816" s="355">
        <v>3.0000000000000001E-3</v>
      </c>
      <c r="E816" s="342">
        <f t="shared" si="43"/>
        <v>3.0000000000000001E-3</v>
      </c>
      <c r="F816" s="342"/>
      <c r="G816" s="336">
        <v>30419744.91335446</v>
      </c>
      <c r="H816" s="336">
        <f t="shared" si="41"/>
        <v>91259.234740063388</v>
      </c>
      <c r="I816" s="336">
        <f t="shared" si="42"/>
        <v>91259.234740063388</v>
      </c>
      <c r="J816" s="336"/>
    </row>
    <row r="817" spans="1:10">
      <c r="A817" s="305">
        <v>72</v>
      </c>
      <c r="B817" s="309" t="s">
        <v>373</v>
      </c>
      <c r="C817" s="352" t="s">
        <v>504</v>
      </c>
      <c r="D817" s="355">
        <v>3.0000000000000001E-3</v>
      </c>
      <c r="E817" s="342">
        <f t="shared" si="43"/>
        <v>3.0000000000000001E-3</v>
      </c>
      <c r="F817" s="342"/>
      <c r="G817" s="336">
        <v>4878166.8901956873</v>
      </c>
      <c r="H817" s="336">
        <f t="shared" si="41"/>
        <v>14634.500670587062</v>
      </c>
      <c r="I817" s="336">
        <f t="shared" si="42"/>
        <v>14634.500670587062</v>
      </c>
      <c r="J817" s="336"/>
    </row>
    <row r="818" spans="1:10">
      <c r="A818" s="314"/>
      <c r="B818" s="312" t="s">
        <v>532</v>
      </c>
      <c r="C818" s="352"/>
      <c r="D818" s="340"/>
      <c r="E818" s="342">
        <f t="shared" si="43"/>
        <v>0</v>
      </c>
      <c r="F818" s="342"/>
      <c r="G818" s="336"/>
      <c r="H818" s="336">
        <f t="shared" si="41"/>
        <v>0</v>
      </c>
      <c r="I818" s="336">
        <f t="shared" si="42"/>
        <v>0</v>
      </c>
      <c r="J818" s="336"/>
    </row>
    <row r="819" spans="1:10" ht="33">
      <c r="A819" s="303">
        <v>73</v>
      </c>
      <c r="B819" s="307" t="s">
        <v>374</v>
      </c>
      <c r="C819" s="372" t="s">
        <v>533</v>
      </c>
      <c r="D819" s="355">
        <v>11</v>
      </c>
      <c r="E819" s="342">
        <f t="shared" si="43"/>
        <v>11</v>
      </c>
      <c r="F819" s="342"/>
      <c r="G819" s="336">
        <v>80262.212258316024</v>
      </c>
      <c r="H819" s="336">
        <f t="shared" si="41"/>
        <v>882884.33484147629</v>
      </c>
      <c r="I819" s="336">
        <f t="shared" si="42"/>
        <v>882884.33484147629</v>
      </c>
      <c r="J819" s="336"/>
    </row>
    <row r="820" spans="1:10" ht="33">
      <c r="A820" s="303">
        <v>74</v>
      </c>
      <c r="B820" s="309" t="s">
        <v>534</v>
      </c>
      <c r="C820" s="352" t="s">
        <v>324</v>
      </c>
      <c r="D820" s="355">
        <v>1.2869999999999999</v>
      </c>
      <c r="E820" s="342">
        <f t="shared" si="43"/>
        <v>1.2869999999999999</v>
      </c>
      <c r="F820" s="342"/>
      <c r="G820" s="336">
        <v>23233178.124883048</v>
      </c>
      <c r="H820" s="336">
        <f t="shared" si="41"/>
        <v>29901100.246724483</v>
      </c>
      <c r="I820" s="336">
        <f t="shared" si="42"/>
        <v>29901100.246724483</v>
      </c>
      <c r="J820" s="336"/>
    </row>
    <row r="821" spans="1:10" ht="33">
      <c r="A821" s="303">
        <v>75</v>
      </c>
      <c r="B821" s="309" t="s">
        <v>535</v>
      </c>
      <c r="C821" s="352" t="s">
        <v>324</v>
      </c>
      <c r="D821" s="355">
        <v>0.186</v>
      </c>
      <c r="E821" s="342">
        <f t="shared" si="43"/>
        <v>0.186</v>
      </c>
      <c r="F821" s="342"/>
      <c r="G821" s="336">
        <v>24394837.12237905</v>
      </c>
      <c r="H821" s="336">
        <f t="shared" si="41"/>
        <v>4537439.7047625035</v>
      </c>
      <c r="I821" s="336">
        <f t="shared" si="42"/>
        <v>4537439.7047625035</v>
      </c>
      <c r="J821" s="336"/>
    </row>
    <row r="822" spans="1:10">
      <c r="A822" s="303">
        <v>76</v>
      </c>
      <c r="B822" s="307" t="s">
        <v>375</v>
      </c>
      <c r="C822" s="352" t="s">
        <v>324</v>
      </c>
      <c r="D822" s="355">
        <v>0.186</v>
      </c>
      <c r="E822" s="342">
        <f t="shared" si="43"/>
        <v>0.186</v>
      </c>
      <c r="F822" s="342"/>
      <c r="G822" s="336">
        <v>10347238.214029023</v>
      </c>
      <c r="H822" s="336">
        <f t="shared" si="41"/>
        <v>1924586.3078093983</v>
      </c>
      <c r="I822" s="336">
        <f t="shared" si="42"/>
        <v>1924586.3078093983</v>
      </c>
      <c r="J822" s="336"/>
    </row>
    <row r="823" spans="1:10">
      <c r="A823" s="303">
        <v>77</v>
      </c>
      <c r="B823" s="307" t="s">
        <v>376</v>
      </c>
      <c r="C823" s="352" t="s">
        <v>504</v>
      </c>
      <c r="D823" s="355">
        <v>0.96299999999999997</v>
      </c>
      <c r="E823" s="342">
        <f t="shared" si="43"/>
        <v>0.96299999999999997</v>
      </c>
      <c r="F823" s="342"/>
      <c r="G823" s="336">
        <v>4852428.5134319821</v>
      </c>
      <c r="H823" s="336">
        <f t="shared" si="41"/>
        <v>4672888.6584349982</v>
      </c>
      <c r="I823" s="336">
        <f t="shared" si="42"/>
        <v>4672888.6584349982</v>
      </c>
      <c r="J823" s="336"/>
    </row>
    <row r="824" spans="1:10">
      <c r="A824" s="303">
        <v>78</v>
      </c>
      <c r="B824" s="307" t="s">
        <v>377</v>
      </c>
      <c r="C824" s="352" t="s">
        <v>504</v>
      </c>
      <c r="D824" s="355">
        <v>0.15</v>
      </c>
      <c r="E824" s="342">
        <f t="shared" si="43"/>
        <v>0.15</v>
      </c>
      <c r="F824" s="342"/>
      <c r="G824" s="336">
        <v>20173128.903969545</v>
      </c>
      <c r="H824" s="336">
        <f t="shared" si="41"/>
        <v>3025969.3355954317</v>
      </c>
      <c r="I824" s="336">
        <f t="shared" si="42"/>
        <v>3025969.3355954317</v>
      </c>
      <c r="J824" s="336"/>
    </row>
    <row r="825" spans="1:10">
      <c r="A825" s="303">
        <v>79</v>
      </c>
      <c r="B825" s="307" t="s">
        <v>272</v>
      </c>
      <c r="C825" s="352" t="s">
        <v>504</v>
      </c>
      <c r="D825" s="355">
        <v>0.81299999999999994</v>
      </c>
      <c r="E825" s="342">
        <f t="shared" si="43"/>
        <v>0.81299999999999994</v>
      </c>
      <c r="F825" s="342"/>
      <c r="G825" s="336">
        <v>17575289.921161499</v>
      </c>
      <c r="H825" s="336">
        <f t="shared" si="41"/>
        <v>14288710.705904298</v>
      </c>
      <c r="I825" s="336">
        <f t="shared" si="42"/>
        <v>14288710.705904298</v>
      </c>
      <c r="J825" s="336"/>
    </row>
    <row r="826" spans="1:10">
      <c r="A826" s="303">
        <v>80</v>
      </c>
      <c r="B826" s="307" t="s">
        <v>378</v>
      </c>
      <c r="C826" s="352" t="s">
        <v>323</v>
      </c>
      <c r="D826" s="355">
        <v>0.14000000000000001</v>
      </c>
      <c r="E826" s="342">
        <f t="shared" si="43"/>
        <v>0.14000000000000001</v>
      </c>
      <c r="F826" s="342"/>
      <c r="G826" s="336">
        <v>1754760.0458052719</v>
      </c>
      <c r="H826" s="336">
        <f t="shared" si="41"/>
        <v>245666.40641273808</v>
      </c>
      <c r="I826" s="336">
        <f t="shared" si="42"/>
        <v>245666.40641273808</v>
      </c>
      <c r="J826" s="336"/>
    </row>
    <row r="827" spans="1:10">
      <c r="A827" s="314"/>
      <c r="B827" s="312" t="s">
        <v>601</v>
      </c>
      <c r="C827" s="370"/>
      <c r="D827" s="355">
        <v>0</v>
      </c>
      <c r="E827" s="342">
        <f t="shared" si="43"/>
        <v>0</v>
      </c>
      <c r="F827" s="342"/>
      <c r="G827" s="336">
        <v>0</v>
      </c>
      <c r="H827" s="336">
        <f t="shared" si="41"/>
        <v>0</v>
      </c>
      <c r="I827" s="336">
        <f t="shared" si="42"/>
        <v>0</v>
      </c>
      <c r="J827" s="336"/>
    </row>
    <row r="828" spans="1:10" ht="33">
      <c r="A828" s="305">
        <v>81</v>
      </c>
      <c r="B828" s="309" t="s">
        <v>536</v>
      </c>
      <c r="C828" s="352" t="s">
        <v>324</v>
      </c>
      <c r="D828" s="355">
        <v>0.84</v>
      </c>
      <c r="E828" s="342">
        <f t="shared" si="43"/>
        <v>0.84</v>
      </c>
      <c r="F828" s="342"/>
      <c r="G828" s="336">
        <v>25694940.15035215</v>
      </c>
      <c r="H828" s="336">
        <f t="shared" si="41"/>
        <v>21583749.726295806</v>
      </c>
      <c r="I828" s="336">
        <f t="shared" si="42"/>
        <v>21583749.726295806</v>
      </c>
      <c r="J828" s="336"/>
    </row>
    <row r="829" spans="1:10" ht="33">
      <c r="A829" s="305">
        <v>82</v>
      </c>
      <c r="B829" s="309" t="s">
        <v>537</v>
      </c>
      <c r="C829" s="352" t="s">
        <v>324</v>
      </c>
      <c r="D829" s="355">
        <v>0.6</v>
      </c>
      <c r="E829" s="342">
        <f t="shared" si="43"/>
        <v>0.6</v>
      </c>
      <c r="F829" s="342"/>
      <c r="G829" s="336">
        <v>19271205.295267828</v>
      </c>
      <c r="H829" s="336">
        <f t="shared" si="41"/>
        <v>11562723.177160697</v>
      </c>
      <c r="I829" s="336">
        <f t="shared" si="42"/>
        <v>11562723.177160697</v>
      </c>
      <c r="J829" s="336"/>
    </row>
    <row r="830" spans="1:10" ht="33">
      <c r="A830" s="305">
        <v>83</v>
      </c>
      <c r="B830" s="307" t="s">
        <v>707</v>
      </c>
      <c r="C830" s="352" t="s">
        <v>504</v>
      </c>
      <c r="D830" s="355">
        <v>1.752</v>
      </c>
      <c r="E830" s="342">
        <f t="shared" si="43"/>
        <v>1.752</v>
      </c>
      <c r="F830" s="342"/>
      <c r="G830" s="336">
        <v>942085.11981537775</v>
      </c>
      <c r="H830" s="336">
        <f t="shared" si="41"/>
        <v>1650533.1299165417</v>
      </c>
      <c r="I830" s="336">
        <f t="shared" si="42"/>
        <v>1650533.1299165417</v>
      </c>
      <c r="J830" s="336"/>
    </row>
    <row r="831" spans="1:10">
      <c r="A831" s="305">
        <v>84</v>
      </c>
      <c r="B831" s="307" t="s">
        <v>380</v>
      </c>
      <c r="C831" s="352" t="s">
        <v>504</v>
      </c>
      <c r="D831" s="355">
        <v>0.59199999999999997</v>
      </c>
      <c r="E831" s="342">
        <f t="shared" si="43"/>
        <v>0.59199999999999997</v>
      </c>
      <c r="F831" s="342"/>
      <c r="G831" s="336">
        <v>9410025.444333382</v>
      </c>
      <c r="H831" s="336">
        <f t="shared" si="41"/>
        <v>5570735.063045362</v>
      </c>
      <c r="I831" s="336">
        <f t="shared" si="42"/>
        <v>5570735.063045362</v>
      </c>
      <c r="J831" s="336"/>
    </row>
    <row r="832" spans="1:10">
      <c r="A832" s="303"/>
      <c r="B832" s="312" t="s">
        <v>539</v>
      </c>
      <c r="C832" s="352"/>
      <c r="D832" s="355">
        <v>0</v>
      </c>
      <c r="E832" s="342">
        <f t="shared" si="43"/>
        <v>0</v>
      </c>
      <c r="F832" s="342"/>
      <c r="G832" s="336">
        <v>0</v>
      </c>
      <c r="H832" s="336">
        <f t="shared" si="41"/>
        <v>0</v>
      </c>
      <c r="I832" s="336">
        <f t="shared" si="42"/>
        <v>0</v>
      </c>
      <c r="J832" s="336"/>
    </row>
    <row r="833" spans="1:10" ht="33">
      <c r="A833" s="303">
        <v>85</v>
      </c>
      <c r="B833" s="307" t="s">
        <v>706</v>
      </c>
      <c r="C833" s="352" t="s">
        <v>504</v>
      </c>
      <c r="D833" s="355">
        <v>0.25800000000000001</v>
      </c>
      <c r="E833" s="342">
        <f t="shared" si="43"/>
        <v>0.25800000000000001</v>
      </c>
      <c r="F833" s="342"/>
      <c r="G833" s="336">
        <v>6051938.6711908635</v>
      </c>
      <c r="H833" s="336">
        <f t="shared" si="41"/>
        <v>1561400.1771672429</v>
      </c>
      <c r="I833" s="336">
        <f t="shared" si="42"/>
        <v>1561400.1771672429</v>
      </c>
      <c r="J833" s="336"/>
    </row>
    <row r="834" spans="1:10" ht="33">
      <c r="A834" s="303">
        <v>86</v>
      </c>
      <c r="B834" s="307" t="s">
        <v>381</v>
      </c>
      <c r="C834" s="352" t="s">
        <v>504</v>
      </c>
      <c r="D834" s="355">
        <v>0.184</v>
      </c>
      <c r="E834" s="342">
        <f t="shared" si="43"/>
        <v>0.184</v>
      </c>
      <c r="F834" s="342"/>
      <c r="G834" s="336">
        <v>4639819.6479129959</v>
      </c>
      <c r="H834" s="336">
        <f t="shared" si="41"/>
        <v>853726.81521599123</v>
      </c>
      <c r="I834" s="336">
        <f t="shared" si="42"/>
        <v>853726.81521599123</v>
      </c>
      <c r="J834" s="336"/>
    </row>
    <row r="835" spans="1:10" ht="33">
      <c r="A835" s="303">
        <v>87</v>
      </c>
      <c r="B835" s="307" t="s">
        <v>705</v>
      </c>
      <c r="C835" s="352" t="s">
        <v>504</v>
      </c>
      <c r="D835" s="355">
        <v>0.107</v>
      </c>
      <c r="E835" s="342">
        <f t="shared" si="43"/>
        <v>0.107</v>
      </c>
      <c r="F835" s="342"/>
      <c r="G835" s="336">
        <v>6051938.6711908635</v>
      </c>
      <c r="H835" s="336">
        <f t="shared" si="41"/>
        <v>647557.43781742232</v>
      </c>
      <c r="I835" s="336">
        <f t="shared" si="42"/>
        <v>647557.43781742232</v>
      </c>
      <c r="J835" s="336"/>
    </row>
    <row r="836" spans="1:10" ht="33">
      <c r="A836" s="303">
        <v>88</v>
      </c>
      <c r="B836" s="307" t="s">
        <v>704</v>
      </c>
      <c r="C836" s="352" t="s">
        <v>504</v>
      </c>
      <c r="D836" s="355">
        <v>3.6999999999999998E-2</v>
      </c>
      <c r="E836" s="342">
        <f t="shared" si="43"/>
        <v>3.6999999999999998E-2</v>
      </c>
      <c r="F836" s="342"/>
      <c r="G836" s="336">
        <v>15936771.834135942</v>
      </c>
      <c r="H836" s="336">
        <f t="shared" si="41"/>
        <v>589660.55786302988</v>
      </c>
      <c r="I836" s="336">
        <f t="shared" si="42"/>
        <v>589660.55786302988</v>
      </c>
      <c r="J836" s="336"/>
    </row>
    <row r="837" spans="1:10" ht="33">
      <c r="A837" s="303">
        <v>89</v>
      </c>
      <c r="B837" s="307" t="s">
        <v>703</v>
      </c>
      <c r="C837" s="352" t="s">
        <v>504</v>
      </c>
      <c r="D837" s="355">
        <v>6.0000000000000001E-3</v>
      </c>
      <c r="E837" s="342">
        <f t="shared" si="43"/>
        <v>6.0000000000000001E-3</v>
      </c>
      <c r="F837" s="342"/>
      <c r="G837" s="336">
        <v>11700414.764302336</v>
      </c>
      <c r="H837" s="336">
        <f t="shared" si="41"/>
        <v>70202.488585814019</v>
      </c>
      <c r="I837" s="336">
        <f t="shared" si="42"/>
        <v>70202.488585814019</v>
      </c>
      <c r="J837" s="336"/>
    </row>
    <row r="838" spans="1:10">
      <c r="A838" s="303">
        <v>90</v>
      </c>
      <c r="B838" s="307" t="s">
        <v>364</v>
      </c>
      <c r="C838" s="352" t="s">
        <v>504</v>
      </c>
      <c r="D838" s="355">
        <v>2.4849999999999999</v>
      </c>
      <c r="E838" s="342">
        <f t="shared" si="43"/>
        <v>2.4849999999999999</v>
      </c>
      <c r="F838" s="342"/>
      <c r="G838" s="336">
        <v>6080313.1193965599</v>
      </c>
      <c r="H838" s="336">
        <f t="shared" si="41"/>
        <v>15109578.101700451</v>
      </c>
      <c r="I838" s="336">
        <f t="shared" si="42"/>
        <v>15109578.101700451</v>
      </c>
      <c r="J838" s="336"/>
    </row>
    <row r="839" spans="1:10">
      <c r="A839" s="303">
        <v>91</v>
      </c>
      <c r="B839" s="307" t="s">
        <v>365</v>
      </c>
      <c r="C839" s="352" t="s">
        <v>504</v>
      </c>
      <c r="D839" s="355">
        <v>2.4849999999999999</v>
      </c>
      <c r="E839" s="342">
        <f t="shared" si="43"/>
        <v>2.4849999999999999</v>
      </c>
      <c r="F839" s="342"/>
      <c r="G839" s="336">
        <v>3640153.3282428598</v>
      </c>
      <c r="H839" s="336">
        <f t="shared" si="41"/>
        <v>9045781.0206835065</v>
      </c>
      <c r="I839" s="336">
        <f t="shared" si="42"/>
        <v>9045781.0206835065</v>
      </c>
      <c r="J839" s="336"/>
    </row>
    <row r="840" spans="1:10">
      <c r="A840" s="303">
        <v>92</v>
      </c>
      <c r="B840" s="307" t="s">
        <v>366</v>
      </c>
      <c r="C840" s="352" t="s">
        <v>324</v>
      </c>
      <c r="D840" s="355">
        <v>0.84</v>
      </c>
      <c r="E840" s="342">
        <f t="shared" si="43"/>
        <v>0.84</v>
      </c>
      <c r="F840" s="342"/>
      <c r="G840" s="336">
        <v>10347238.214029023</v>
      </c>
      <c r="H840" s="336">
        <f t="shared" si="41"/>
        <v>8691680.0997843798</v>
      </c>
      <c r="I840" s="336">
        <f t="shared" si="42"/>
        <v>8691680.0997843798</v>
      </c>
      <c r="J840" s="336"/>
    </row>
    <row r="841" spans="1:10">
      <c r="A841" s="303"/>
      <c r="B841" s="308" t="s">
        <v>702</v>
      </c>
      <c r="C841" s="352"/>
      <c r="D841" s="355">
        <v>0</v>
      </c>
      <c r="E841" s="342">
        <f t="shared" si="43"/>
        <v>0</v>
      </c>
      <c r="F841" s="342"/>
      <c r="G841" s="336">
        <v>0</v>
      </c>
      <c r="H841" s="336">
        <f t="shared" si="41"/>
        <v>0</v>
      </c>
      <c r="I841" s="336">
        <f t="shared" si="42"/>
        <v>0</v>
      </c>
      <c r="J841" s="336"/>
    </row>
    <row r="842" spans="1:10">
      <c r="A842" s="311"/>
      <c r="B842" s="312" t="s">
        <v>546</v>
      </c>
      <c r="C842" s="352"/>
      <c r="D842" s="355">
        <v>0</v>
      </c>
      <c r="E842" s="342">
        <f t="shared" si="43"/>
        <v>0</v>
      </c>
      <c r="F842" s="342"/>
      <c r="G842" s="336">
        <v>0</v>
      </c>
      <c r="H842" s="336">
        <f t="shared" si="41"/>
        <v>0</v>
      </c>
      <c r="I842" s="336">
        <f t="shared" si="42"/>
        <v>0</v>
      </c>
      <c r="J842" s="336"/>
    </row>
    <row r="843" spans="1:10" ht="33">
      <c r="A843" s="305">
        <v>93</v>
      </c>
      <c r="B843" s="309" t="s">
        <v>387</v>
      </c>
      <c r="C843" s="352" t="s">
        <v>323</v>
      </c>
      <c r="D843" s="355">
        <v>63.91</v>
      </c>
      <c r="E843" s="342">
        <f t="shared" si="43"/>
        <v>63.91</v>
      </c>
      <c r="F843" s="342"/>
      <c r="G843" s="336">
        <v>2027464.7566844549</v>
      </c>
      <c r="H843" s="336">
        <f t="shared" si="41"/>
        <v>129575272.59970351</v>
      </c>
      <c r="I843" s="336">
        <f t="shared" si="42"/>
        <v>129575272.59970351</v>
      </c>
      <c r="J843" s="336"/>
    </row>
    <row r="844" spans="1:10" ht="33">
      <c r="A844" s="305">
        <v>94</v>
      </c>
      <c r="B844" s="309" t="s">
        <v>701</v>
      </c>
      <c r="C844" s="352" t="s">
        <v>323</v>
      </c>
      <c r="D844" s="355">
        <v>86.83</v>
      </c>
      <c r="E844" s="342">
        <f t="shared" si="43"/>
        <v>86.83</v>
      </c>
      <c r="F844" s="342"/>
      <c r="G844" s="336">
        <v>2608057.7646897146</v>
      </c>
      <c r="H844" s="336">
        <f t="shared" si="41"/>
        <v>226457655.70800793</v>
      </c>
      <c r="I844" s="336">
        <f t="shared" si="42"/>
        <v>226457655.70800793</v>
      </c>
      <c r="J844" s="336"/>
    </row>
    <row r="845" spans="1:10" ht="33">
      <c r="A845" s="305">
        <v>95</v>
      </c>
      <c r="B845" s="309" t="s">
        <v>403</v>
      </c>
      <c r="C845" s="352" t="s">
        <v>323</v>
      </c>
      <c r="D845" s="355">
        <v>7.95</v>
      </c>
      <c r="E845" s="342">
        <f t="shared" si="43"/>
        <v>7.95</v>
      </c>
      <c r="F845" s="342"/>
      <c r="G845" s="336">
        <v>2426266.6352811917</v>
      </c>
      <c r="H845" s="336">
        <f t="shared" si="41"/>
        <v>19288819.750485472</v>
      </c>
      <c r="I845" s="336">
        <f t="shared" si="42"/>
        <v>19288819.750485472</v>
      </c>
      <c r="J845" s="336"/>
    </row>
    <row r="846" spans="1:10" ht="33">
      <c r="A846" s="305">
        <v>96</v>
      </c>
      <c r="B846" s="309" t="s">
        <v>404</v>
      </c>
      <c r="C846" s="352" t="s">
        <v>323</v>
      </c>
      <c r="D846" s="355">
        <v>1.79</v>
      </c>
      <c r="E846" s="342">
        <f t="shared" si="43"/>
        <v>1.79</v>
      </c>
      <c r="F846" s="342"/>
      <c r="G846" s="336">
        <v>2913712.1823196714</v>
      </c>
      <c r="H846" s="336">
        <f t="shared" si="41"/>
        <v>5215544.8063522121</v>
      </c>
      <c r="I846" s="336">
        <f t="shared" si="42"/>
        <v>5215544.8063522121</v>
      </c>
      <c r="J846" s="336"/>
    </row>
    <row r="847" spans="1:10" ht="33">
      <c r="A847" s="305">
        <v>97</v>
      </c>
      <c r="B847" s="309" t="s">
        <v>548</v>
      </c>
      <c r="C847" s="352" t="s">
        <v>323</v>
      </c>
      <c r="D847" s="355">
        <v>1.93</v>
      </c>
      <c r="E847" s="342">
        <f t="shared" si="43"/>
        <v>1.93</v>
      </c>
      <c r="F847" s="342"/>
      <c r="G847" s="336">
        <v>2426266.6352811917</v>
      </c>
      <c r="H847" s="336">
        <f t="shared" si="41"/>
        <v>4682694.6060926998</v>
      </c>
      <c r="I847" s="336">
        <f t="shared" si="42"/>
        <v>4682694.6060926998</v>
      </c>
      <c r="J847" s="336"/>
    </row>
    <row r="848" spans="1:10">
      <c r="A848" s="305">
        <v>98</v>
      </c>
      <c r="B848" s="309" t="s">
        <v>388</v>
      </c>
      <c r="C848" s="352" t="s">
        <v>326</v>
      </c>
      <c r="D848" s="355">
        <v>166.47</v>
      </c>
      <c r="E848" s="342">
        <f t="shared" si="43"/>
        <v>166.47</v>
      </c>
      <c r="F848" s="342"/>
      <c r="G848" s="336">
        <v>30806.869839482002</v>
      </c>
      <c r="H848" s="336">
        <f t="shared" si="41"/>
        <v>5128419.6221785685</v>
      </c>
      <c r="I848" s="336">
        <f t="shared" si="42"/>
        <v>5128419.6221785685</v>
      </c>
      <c r="J848" s="336"/>
    </row>
    <row r="849" spans="1:10">
      <c r="A849" s="305">
        <v>99</v>
      </c>
      <c r="B849" s="307" t="s">
        <v>389</v>
      </c>
      <c r="C849" s="352" t="s">
        <v>328</v>
      </c>
      <c r="D849" s="355">
        <v>4.9800000000000004</v>
      </c>
      <c r="E849" s="342">
        <f t="shared" si="43"/>
        <v>4.9800000000000004</v>
      </c>
      <c r="F849" s="342"/>
      <c r="G849" s="336">
        <v>1453528.4231198058</v>
      </c>
      <c r="H849" s="336">
        <f t="shared" si="41"/>
        <v>7238571.5471366337</v>
      </c>
      <c r="I849" s="336">
        <f t="shared" si="42"/>
        <v>7238571.5471366337</v>
      </c>
      <c r="J849" s="336"/>
    </row>
    <row r="850" spans="1:10">
      <c r="A850" s="305">
        <v>100</v>
      </c>
      <c r="B850" s="309" t="s">
        <v>352</v>
      </c>
      <c r="C850" s="352" t="s">
        <v>324</v>
      </c>
      <c r="D850" s="355">
        <v>112.005</v>
      </c>
      <c r="E850" s="342">
        <f t="shared" si="43"/>
        <v>112.005</v>
      </c>
      <c r="F850" s="342"/>
      <c r="G850" s="336">
        <v>1528207.3601667725</v>
      </c>
      <c r="H850" s="336">
        <f t="shared" si="41"/>
        <v>171166865.37547934</v>
      </c>
      <c r="I850" s="336">
        <f t="shared" si="42"/>
        <v>171166865.37547934</v>
      </c>
      <c r="J850" s="336"/>
    </row>
    <row r="851" spans="1:10">
      <c r="A851" s="305">
        <v>101</v>
      </c>
      <c r="B851" s="309" t="s">
        <v>390</v>
      </c>
      <c r="C851" s="352" t="s">
        <v>504</v>
      </c>
      <c r="D851" s="355">
        <v>2.9980000000000002</v>
      </c>
      <c r="E851" s="342">
        <f t="shared" si="43"/>
        <v>2.9980000000000002</v>
      </c>
      <c r="F851" s="342"/>
      <c r="G851" s="336">
        <v>22959485.217240658</v>
      </c>
      <c r="H851" s="336">
        <f t="shared" si="41"/>
        <v>68832536.681287497</v>
      </c>
      <c r="I851" s="336">
        <f t="shared" si="42"/>
        <v>68832536.681287497</v>
      </c>
      <c r="J851" s="336"/>
    </row>
    <row r="852" spans="1:10">
      <c r="A852" s="305">
        <v>102</v>
      </c>
      <c r="B852" s="309" t="s">
        <v>394</v>
      </c>
      <c r="C852" s="352" t="s">
        <v>504</v>
      </c>
      <c r="D852" s="355">
        <v>7.1639999999999997</v>
      </c>
      <c r="E852" s="342">
        <f t="shared" si="43"/>
        <v>7.1639999999999997</v>
      </c>
      <c r="F852" s="342"/>
      <c r="G852" s="336">
        <v>23872760.678466823</v>
      </c>
      <c r="H852" s="336">
        <f t="shared" si="41"/>
        <v>171024457.50053632</v>
      </c>
      <c r="I852" s="336">
        <f t="shared" si="42"/>
        <v>171024457.50053632</v>
      </c>
      <c r="J852" s="336"/>
    </row>
    <row r="853" spans="1:10">
      <c r="A853" s="305">
        <v>103</v>
      </c>
      <c r="B853" s="309" t="s">
        <v>407</v>
      </c>
      <c r="C853" s="352" t="s">
        <v>504</v>
      </c>
      <c r="D853" s="355">
        <v>1.3069999999999999</v>
      </c>
      <c r="E853" s="342">
        <f t="shared" si="43"/>
        <v>1.3069999999999999</v>
      </c>
      <c r="F853" s="342"/>
      <c r="G853" s="336">
        <v>23577316.613480441</v>
      </c>
      <c r="H853" s="336">
        <f t="shared" si="41"/>
        <v>30815552.813818935</v>
      </c>
      <c r="I853" s="336">
        <f t="shared" si="42"/>
        <v>30815552.813818935</v>
      </c>
      <c r="J853" s="336"/>
    </row>
    <row r="854" spans="1:10">
      <c r="A854" s="305">
        <v>104</v>
      </c>
      <c r="B854" s="307" t="s">
        <v>392</v>
      </c>
      <c r="C854" s="352" t="s">
        <v>329</v>
      </c>
      <c r="D854" s="355">
        <v>0.316</v>
      </c>
      <c r="E854" s="342">
        <f t="shared" si="43"/>
        <v>0.316</v>
      </c>
      <c r="F854" s="342"/>
      <c r="G854" s="336">
        <v>4683274.2184133623</v>
      </c>
      <c r="H854" s="336">
        <f t="shared" si="41"/>
        <v>1479914.6530186224</v>
      </c>
      <c r="I854" s="336">
        <f t="shared" si="42"/>
        <v>1479914.6530186224</v>
      </c>
      <c r="J854" s="336"/>
    </row>
    <row r="855" spans="1:10">
      <c r="A855" s="305">
        <v>105</v>
      </c>
      <c r="B855" s="307" t="s">
        <v>395</v>
      </c>
      <c r="C855" s="352" t="s">
        <v>67</v>
      </c>
      <c r="D855" s="355">
        <v>3.8889999999999998</v>
      </c>
      <c r="E855" s="342">
        <f t="shared" si="43"/>
        <v>3.8889999999999998</v>
      </c>
      <c r="F855" s="342"/>
      <c r="G855" s="336">
        <v>10629092.200973125</v>
      </c>
      <c r="H855" s="336">
        <f t="shared" si="41"/>
        <v>41336539.569584481</v>
      </c>
      <c r="I855" s="336">
        <f t="shared" si="42"/>
        <v>41336539.569584481</v>
      </c>
      <c r="J855" s="336"/>
    </row>
    <row r="856" spans="1:10">
      <c r="A856" s="305">
        <v>106</v>
      </c>
      <c r="B856" s="309" t="s">
        <v>406</v>
      </c>
      <c r="C856" s="352" t="s">
        <v>325</v>
      </c>
      <c r="D856" s="355">
        <v>0.67100000000000004</v>
      </c>
      <c r="E856" s="342">
        <f t="shared" si="43"/>
        <v>0.67100000000000004</v>
      </c>
      <c r="F856" s="342"/>
      <c r="G856" s="336">
        <v>8117524.669297385</v>
      </c>
      <c r="H856" s="336">
        <f t="shared" si="41"/>
        <v>5446859.0530985454</v>
      </c>
      <c r="I856" s="336">
        <f t="shared" si="42"/>
        <v>5446859.0530985454</v>
      </c>
      <c r="J856" s="336"/>
    </row>
    <row r="857" spans="1:10">
      <c r="A857" s="314"/>
      <c r="B857" s="312" t="s">
        <v>549</v>
      </c>
      <c r="C857" s="371"/>
      <c r="D857" s="355">
        <v>0</v>
      </c>
      <c r="E857" s="342">
        <f t="shared" si="43"/>
        <v>0</v>
      </c>
      <c r="F857" s="342"/>
      <c r="G857" s="336">
        <v>0</v>
      </c>
      <c r="H857" s="336">
        <f t="shared" si="41"/>
        <v>0</v>
      </c>
      <c r="I857" s="336">
        <f t="shared" si="42"/>
        <v>0</v>
      </c>
      <c r="J857" s="336"/>
    </row>
    <row r="858" spans="1:10" ht="33">
      <c r="A858" s="305">
        <v>107</v>
      </c>
      <c r="B858" s="309" t="s">
        <v>387</v>
      </c>
      <c r="C858" s="352" t="s">
        <v>323</v>
      </c>
      <c r="D858" s="355">
        <v>11.47</v>
      </c>
      <c r="E858" s="342">
        <f t="shared" si="43"/>
        <v>11.47</v>
      </c>
      <c r="F858" s="342"/>
      <c r="G858" s="336">
        <v>2027464.7566844549</v>
      </c>
      <c r="H858" s="336">
        <f t="shared" si="41"/>
        <v>23255020.7591707</v>
      </c>
      <c r="I858" s="336">
        <f t="shared" si="42"/>
        <v>23255020.7591707</v>
      </c>
      <c r="J858" s="336"/>
    </row>
    <row r="859" spans="1:10" ht="33">
      <c r="A859" s="305">
        <v>108</v>
      </c>
      <c r="B859" s="309" t="s">
        <v>393</v>
      </c>
      <c r="C859" s="352" t="s">
        <v>323</v>
      </c>
      <c r="D859" s="355">
        <v>17.66</v>
      </c>
      <c r="E859" s="342">
        <f t="shared" si="43"/>
        <v>17.66</v>
      </c>
      <c r="F859" s="342"/>
      <c r="G859" s="336">
        <v>2608057.7646897146</v>
      </c>
      <c r="H859" s="336">
        <f t="shared" si="41"/>
        <v>46058300.12442036</v>
      </c>
      <c r="I859" s="336">
        <f t="shared" si="42"/>
        <v>46058300.12442036</v>
      </c>
      <c r="J859" s="336"/>
    </row>
    <row r="860" spans="1:10">
      <c r="A860" s="305">
        <v>109</v>
      </c>
      <c r="B860" s="309" t="s">
        <v>388</v>
      </c>
      <c r="C860" s="352" t="s">
        <v>326</v>
      </c>
      <c r="D860" s="355">
        <v>29.858000000000001</v>
      </c>
      <c r="E860" s="342">
        <f t="shared" si="43"/>
        <v>29.858000000000001</v>
      </c>
      <c r="F860" s="342"/>
      <c r="G860" s="336">
        <v>30806.869839482002</v>
      </c>
      <c r="H860" s="336">
        <f t="shared" si="41"/>
        <v>919831.5196672536</v>
      </c>
      <c r="I860" s="336">
        <f t="shared" si="42"/>
        <v>919831.5196672536</v>
      </c>
      <c r="J860" s="336"/>
    </row>
    <row r="861" spans="1:10">
      <c r="A861" s="305">
        <v>110</v>
      </c>
      <c r="B861" s="307" t="s">
        <v>389</v>
      </c>
      <c r="C861" s="352" t="s">
        <v>328</v>
      </c>
      <c r="D861" s="355">
        <v>4.22</v>
      </c>
      <c r="E861" s="342">
        <f t="shared" si="43"/>
        <v>4.22</v>
      </c>
      <c r="F861" s="342"/>
      <c r="G861" s="336">
        <v>1453528.4231198058</v>
      </c>
      <c r="H861" s="336">
        <f t="shared" si="41"/>
        <v>6133889.9455655795</v>
      </c>
      <c r="I861" s="336">
        <f t="shared" si="42"/>
        <v>6133889.9455655795</v>
      </c>
      <c r="J861" s="336"/>
    </row>
    <row r="862" spans="1:10">
      <c r="A862" s="305">
        <v>111</v>
      </c>
      <c r="B862" s="309" t="s">
        <v>352</v>
      </c>
      <c r="C862" s="352" t="s">
        <v>324</v>
      </c>
      <c r="D862" s="355">
        <v>38.159999999999997</v>
      </c>
      <c r="E862" s="342">
        <f t="shared" si="43"/>
        <v>38.159999999999997</v>
      </c>
      <c r="F862" s="342"/>
      <c r="G862" s="336">
        <v>1528207.3601667725</v>
      </c>
      <c r="H862" s="336">
        <f t="shared" ref="H862:H925" si="44">D862*G862</f>
        <v>58316392.863964036</v>
      </c>
      <c r="I862" s="336">
        <f t="shared" ref="I862:I925" si="45">E862*G862</f>
        <v>58316392.863964036</v>
      </c>
      <c r="J862" s="336"/>
    </row>
    <row r="863" spans="1:10">
      <c r="A863" s="305">
        <v>112</v>
      </c>
      <c r="B863" s="307" t="s">
        <v>551</v>
      </c>
      <c r="C863" s="352" t="s">
        <v>327</v>
      </c>
      <c r="D863" s="355">
        <v>8.1</v>
      </c>
      <c r="E863" s="342">
        <f t="shared" ref="E863:E926" si="46">D863</f>
        <v>8.1</v>
      </c>
      <c r="F863" s="342"/>
      <c r="G863" s="336">
        <v>637246.01940001198</v>
      </c>
      <c r="H863" s="336">
        <f t="shared" si="44"/>
        <v>5161692.7571400972</v>
      </c>
      <c r="I863" s="336">
        <f t="shared" si="45"/>
        <v>5161692.7571400972</v>
      </c>
      <c r="J863" s="336"/>
    </row>
    <row r="864" spans="1:10">
      <c r="A864" s="305">
        <v>113</v>
      </c>
      <c r="B864" s="309" t="s">
        <v>552</v>
      </c>
      <c r="C864" s="352" t="s">
        <v>504</v>
      </c>
      <c r="D864" s="355">
        <v>0.192</v>
      </c>
      <c r="E864" s="342">
        <f t="shared" si="46"/>
        <v>0.192</v>
      </c>
      <c r="F864" s="342"/>
      <c r="G864" s="336">
        <v>22970498.221207418</v>
      </c>
      <c r="H864" s="336">
        <f t="shared" si="44"/>
        <v>4410335.6584718246</v>
      </c>
      <c r="I864" s="336">
        <f t="shared" si="45"/>
        <v>4410335.6584718246</v>
      </c>
      <c r="J864" s="336"/>
    </row>
    <row r="865" spans="1:10">
      <c r="A865" s="305">
        <v>114</v>
      </c>
      <c r="B865" s="309" t="s">
        <v>390</v>
      </c>
      <c r="C865" s="352" t="s">
        <v>504</v>
      </c>
      <c r="D865" s="355">
        <v>0.80100000000000005</v>
      </c>
      <c r="E865" s="342">
        <f t="shared" si="46"/>
        <v>0.80100000000000005</v>
      </c>
      <c r="F865" s="342"/>
      <c r="G865" s="336">
        <v>22959485.217240658</v>
      </c>
      <c r="H865" s="336">
        <f t="shared" si="44"/>
        <v>18390547.65900977</v>
      </c>
      <c r="I865" s="336">
        <f t="shared" si="45"/>
        <v>18390547.65900977</v>
      </c>
      <c r="J865" s="336"/>
    </row>
    <row r="866" spans="1:10">
      <c r="A866" s="305">
        <v>115</v>
      </c>
      <c r="B866" s="309" t="s">
        <v>440</v>
      </c>
      <c r="C866" s="352" t="s">
        <v>504</v>
      </c>
      <c r="D866" s="355">
        <v>0.25600000000000001</v>
      </c>
      <c r="E866" s="342">
        <f t="shared" si="46"/>
        <v>0.25600000000000001</v>
      </c>
      <c r="F866" s="342"/>
      <c r="G866" s="336">
        <v>23632475.075214513</v>
      </c>
      <c r="H866" s="336">
        <f t="shared" si="44"/>
        <v>6049913.619254915</v>
      </c>
      <c r="I866" s="336">
        <f t="shared" si="45"/>
        <v>6049913.619254915</v>
      </c>
      <c r="J866" s="336"/>
    </row>
    <row r="867" spans="1:10">
      <c r="A867" s="305">
        <v>116</v>
      </c>
      <c r="B867" s="309" t="s">
        <v>394</v>
      </c>
      <c r="C867" s="352" t="s">
        <v>504</v>
      </c>
      <c r="D867" s="355">
        <v>1.1180000000000001</v>
      </c>
      <c r="E867" s="342">
        <f t="shared" si="46"/>
        <v>1.1180000000000001</v>
      </c>
      <c r="F867" s="342"/>
      <c r="G867" s="336">
        <v>23872760.678466823</v>
      </c>
      <c r="H867" s="336">
        <f t="shared" si="44"/>
        <v>26689746.438525911</v>
      </c>
      <c r="I867" s="336">
        <f t="shared" si="45"/>
        <v>26689746.438525911</v>
      </c>
      <c r="J867" s="336"/>
    </row>
    <row r="868" spans="1:10">
      <c r="A868" s="305">
        <v>117</v>
      </c>
      <c r="B868" s="307" t="s">
        <v>392</v>
      </c>
      <c r="C868" s="352" t="s">
        <v>329</v>
      </c>
      <c r="D868" s="355">
        <v>0.14399999999999999</v>
      </c>
      <c r="E868" s="342">
        <f t="shared" si="46"/>
        <v>0.14399999999999999</v>
      </c>
      <c r="F868" s="342"/>
      <c r="G868" s="336">
        <v>4683274.2184133623</v>
      </c>
      <c r="H868" s="336">
        <f t="shared" si="44"/>
        <v>674391.48745152412</v>
      </c>
      <c r="I868" s="336">
        <f t="shared" si="45"/>
        <v>674391.48745152412</v>
      </c>
      <c r="J868" s="336"/>
    </row>
    <row r="869" spans="1:10">
      <c r="A869" s="305">
        <v>118</v>
      </c>
      <c r="B869" s="307" t="s">
        <v>395</v>
      </c>
      <c r="C869" s="352" t="s">
        <v>67</v>
      </c>
      <c r="D869" s="355">
        <v>1.1879999999999999</v>
      </c>
      <c r="E869" s="342">
        <f t="shared" si="46"/>
        <v>1.1879999999999999</v>
      </c>
      <c r="F869" s="342"/>
      <c r="G869" s="336">
        <v>10629092.200973125</v>
      </c>
      <c r="H869" s="336">
        <f t="shared" si="44"/>
        <v>12627361.534756072</v>
      </c>
      <c r="I869" s="336">
        <f t="shared" si="45"/>
        <v>12627361.534756072</v>
      </c>
      <c r="J869" s="336"/>
    </row>
    <row r="870" spans="1:10">
      <c r="A870" s="303"/>
      <c r="B870" s="308" t="s">
        <v>700</v>
      </c>
      <c r="C870" s="370"/>
      <c r="D870" s="355">
        <v>0</v>
      </c>
      <c r="E870" s="342">
        <f t="shared" si="46"/>
        <v>0</v>
      </c>
      <c r="F870" s="342"/>
      <c r="G870" s="336">
        <v>0</v>
      </c>
      <c r="H870" s="336">
        <f t="shared" si="44"/>
        <v>0</v>
      </c>
      <c r="I870" s="336">
        <f t="shared" si="45"/>
        <v>0</v>
      </c>
      <c r="J870" s="336"/>
    </row>
    <row r="871" spans="1:10" ht="33">
      <c r="A871" s="305">
        <v>119</v>
      </c>
      <c r="B871" s="309" t="s">
        <v>409</v>
      </c>
      <c r="C871" s="352" t="s">
        <v>323</v>
      </c>
      <c r="D871" s="355">
        <v>22.26</v>
      </c>
      <c r="E871" s="342">
        <f t="shared" si="46"/>
        <v>22.26</v>
      </c>
      <c r="F871" s="342"/>
      <c r="G871" s="336">
        <v>2027464.7566844549</v>
      </c>
      <c r="H871" s="336">
        <f t="shared" si="44"/>
        <v>45131365.483795971</v>
      </c>
      <c r="I871" s="336">
        <f t="shared" si="45"/>
        <v>45131365.483795971</v>
      </c>
      <c r="J871" s="336"/>
    </row>
    <row r="872" spans="1:10">
      <c r="A872" s="305">
        <v>120</v>
      </c>
      <c r="B872" s="309" t="s">
        <v>388</v>
      </c>
      <c r="C872" s="352" t="s">
        <v>326</v>
      </c>
      <c r="D872" s="355">
        <v>22.817</v>
      </c>
      <c r="E872" s="342">
        <f t="shared" si="46"/>
        <v>22.817</v>
      </c>
      <c r="F872" s="342"/>
      <c r="G872" s="336">
        <v>30806.869839482002</v>
      </c>
      <c r="H872" s="336">
        <f t="shared" si="44"/>
        <v>702920.34912746085</v>
      </c>
      <c r="I872" s="336">
        <f t="shared" si="45"/>
        <v>702920.34912746085</v>
      </c>
      <c r="J872" s="336"/>
    </row>
    <row r="873" spans="1:10">
      <c r="A873" s="305">
        <v>121</v>
      </c>
      <c r="B873" s="309" t="s">
        <v>552</v>
      </c>
      <c r="C873" s="352" t="s">
        <v>504</v>
      </c>
      <c r="D873" s="355">
        <v>0.02</v>
      </c>
      <c r="E873" s="342">
        <f t="shared" si="46"/>
        <v>0.02</v>
      </c>
      <c r="F873" s="342"/>
      <c r="G873" s="336">
        <v>22970498.221207418</v>
      </c>
      <c r="H873" s="336">
        <f t="shared" si="44"/>
        <v>459409.96442414838</v>
      </c>
      <c r="I873" s="336">
        <f t="shared" si="45"/>
        <v>459409.96442414838</v>
      </c>
      <c r="J873" s="336"/>
    </row>
    <row r="874" spans="1:10">
      <c r="A874" s="305">
        <v>122</v>
      </c>
      <c r="B874" s="309" t="s">
        <v>391</v>
      </c>
      <c r="C874" s="352" t="s">
        <v>504</v>
      </c>
      <c r="D874" s="355">
        <v>2.1259999999999999</v>
      </c>
      <c r="E874" s="342">
        <f t="shared" si="46"/>
        <v>2.1259999999999999</v>
      </c>
      <c r="F874" s="342"/>
      <c r="G874" s="336">
        <v>22540677.403458439</v>
      </c>
      <c r="H874" s="336">
        <f t="shared" si="44"/>
        <v>47921480.159752637</v>
      </c>
      <c r="I874" s="336">
        <f t="shared" si="45"/>
        <v>47921480.159752637</v>
      </c>
      <c r="J874" s="336"/>
    </row>
    <row r="875" spans="1:10">
      <c r="A875" s="305">
        <v>123</v>
      </c>
      <c r="B875" s="307" t="s">
        <v>402</v>
      </c>
      <c r="C875" s="352" t="s">
        <v>331</v>
      </c>
      <c r="D875" s="355">
        <v>93</v>
      </c>
      <c r="E875" s="342">
        <f t="shared" si="46"/>
        <v>93</v>
      </c>
      <c r="F875" s="342"/>
      <c r="G875" s="336">
        <v>61715.820088263004</v>
      </c>
      <c r="H875" s="336">
        <f t="shared" si="44"/>
        <v>5739571.268208459</v>
      </c>
      <c r="I875" s="336">
        <f t="shared" si="45"/>
        <v>5739571.268208459</v>
      </c>
      <c r="J875" s="336"/>
    </row>
    <row r="876" spans="1:10">
      <c r="A876" s="305">
        <v>124</v>
      </c>
      <c r="B876" s="309" t="s">
        <v>410</v>
      </c>
      <c r="C876" s="352" t="s">
        <v>323</v>
      </c>
      <c r="D876" s="355">
        <v>5.59</v>
      </c>
      <c r="E876" s="342">
        <f t="shared" si="46"/>
        <v>5.59</v>
      </c>
      <c r="F876" s="342"/>
      <c r="G876" s="336">
        <v>1623118.7803397712</v>
      </c>
      <c r="H876" s="336">
        <f t="shared" si="44"/>
        <v>9073233.9820993207</v>
      </c>
      <c r="I876" s="336">
        <f t="shared" si="45"/>
        <v>9073233.9820993207</v>
      </c>
      <c r="J876" s="336"/>
    </row>
    <row r="877" spans="1:10">
      <c r="A877" s="305">
        <v>125</v>
      </c>
      <c r="B877" s="307" t="s">
        <v>392</v>
      </c>
      <c r="C877" s="352" t="s">
        <v>329</v>
      </c>
      <c r="D877" s="355">
        <v>0.16700000000000001</v>
      </c>
      <c r="E877" s="342">
        <f t="shared" si="46"/>
        <v>0.16700000000000001</v>
      </c>
      <c r="F877" s="342"/>
      <c r="G877" s="336">
        <v>4683274.2184133623</v>
      </c>
      <c r="H877" s="336">
        <f t="shared" si="44"/>
        <v>782106.79447503155</v>
      </c>
      <c r="I877" s="336">
        <f t="shared" si="45"/>
        <v>782106.79447503155</v>
      </c>
      <c r="J877" s="336"/>
    </row>
    <row r="878" spans="1:10">
      <c r="A878" s="305">
        <v>126</v>
      </c>
      <c r="B878" s="307" t="s">
        <v>411</v>
      </c>
      <c r="C878" s="352" t="s">
        <v>106</v>
      </c>
      <c r="D878" s="355">
        <v>8.4000000000000005E-2</v>
      </c>
      <c r="E878" s="342">
        <f t="shared" si="46"/>
        <v>8.4000000000000005E-2</v>
      </c>
      <c r="F878" s="342"/>
      <c r="G878" s="336">
        <v>2323017.5938828867</v>
      </c>
      <c r="H878" s="336">
        <f t="shared" si="44"/>
        <v>195133.47788616249</v>
      </c>
      <c r="I878" s="336">
        <f t="shared" si="45"/>
        <v>195133.47788616249</v>
      </c>
      <c r="J878" s="336"/>
    </row>
    <row r="879" spans="1:10">
      <c r="A879" s="305">
        <v>127</v>
      </c>
      <c r="B879" s="309" t="s">
        <v>554</v>
      </c>
      <c r="C879" s="352" t="s">
        <v>330</v>
      </c>
      <c r="D879" s="355">
        <v>3.73</v>
      </c>
      <c r="E879" s="342">
        <f t="shared" si="46"/>
        <v>3.73</v>
      </c>
      <c r="F879" s="342"/>
      <c r="G879" s="336">
        <v>192397.84604611999</v>
      </c>
      <c r="H879" s="336">
        <f t="shared" si="44"/>
        <v>717643.96575202758</v>
      </c>
      <c r="I879" s="336">
        <f t="shared" si="45"/>
        <v>717643.96575202758</v>
      </c>
      <c r="J879" s="336"/>
    </row>
    <row r="880" spans="1:10">
      <c r="A880" s="369"/>
      <c r="B880" s="308" t="s">
        <v>555</v>
      </c>
      <c r="C880" s="352"/>
      <c r="D880" s="340"/>
      <c r="E880" s="342">
        <f t="shared" si="46"/>
        <v>0</v>
      </c>
      <c r="F880" s="342"/>
      <c r="G880" s="336"/>
      <c r="H880" s="336">
        <f t="shared" si="44"/>
        <v>0</v>
      </c>
      <c r="I880" s="336">
        <f t="shared" si="45"/>
        <v>0</v>
      </c>
      <c r="J880" s="336"/>
    </row>
    <row r="881" spans="1:10" ht="33">
      <c r="A881" s="303">
        <v>128</v>
      </c>
      <c r="B881" s="307" t="s">
        <v>699</v>
      </c>
      <c r="C881" s="352" t="s">
        <v>325</v>
      </c>
      <c r="D881" s="355">
        <v>1.512</v>
      </c>
      <c r="E881" s="342">
        <f t="shared" si="46"/>
        <v>1.512</v>
      </c>
      <c r="F881" s="342"/>
      <c r="G881" s="336">
        <v>15606522.859853663</v>
      </c>
      <c r="H881" s="336">
        <f t="shared" si="44"/>
        <v>23597062.564098738</v>
      </c>
      <c r="I881" s="336">
        <f t="shared" si="45"/>
        <v>23597062.564098738</v>
      </c>
      <c r="J881" s="336"/>
    </row>
    <row r="882" spans="1:10" ht="33">
      <c r="A882" s="303">
        <v>129</v>
      </c>
      <c r="B882" s="307" t="s">
        <v>698</v>
      </c>
      <c r="C882" s="352" t="s">
        <v>325</v>
      </c>
      <c r="D882" s="355">
        <v>1.512</v>
      </c>
      <c r="E882" s="342">
        <f t="shared" si="46"/>
        <v>1.512</v>
      </c>
      <c r="F882" s="342"/>
      <c r="G882" s="336">
        <v>2713602.7903804714</v>
      </c>
      <c r="H882" s="336">
        <f t="shared" si="44"/>
        <v>4102967.4190552728</v>
      </c>
      <c r="I882" s="336">
        <f t="shared" si="45"/>
        <v>4102967.4190552728</v>
      </c>
      <c r="J882" s="336"/>
    </row>
    <row r="883" spans="1:10">
      <c r="A883" s="303">
        <v>130</v>
      </c>
      <c r="B883" s="309" t="s">
        <v>558</v>
      </c>
      <c r="C883" s="352" t="s">
        <v>70</v>
      </c>
      <c r="D883" s="355">
        <v>0.38600000000000001</v>
      </c>
      <c r="E883" s="342">
        <f t="shared" si="46"/>
        <v>0.38600000000000001</v>
      </c>
      <c r="F883" s="342"/>
      <c r="G883" s="336">
        <v>81099718.991999239</v>
      </c>
      <c r="H883" s="336">
        <f t="shared" si="44"/>
        <v>31304491.530911706</v>
      </c>
      <c r="I883" s="336">
        <f t="shared" si="45"/>
        <v>31304491.530911706</v>
      </c>
      <c r="J883" s="336"/>
    </row>
    <row r="884" spans="1:10">
      <c r="A884" s="303">
        <v>131</v>
      </c>
      <c r="B884" s="309" t="s">
        <v>559</v>
      </c>
      <c r="C884" s="352" t="s">
        <v>70</v>
      </c>
      <c r="D884" s="355">
        <v>0.30299999999999999</v>
      </c>
      <c r="E884" s="342">
        <f t="shared" si="46"/>
        <v>0.30299999999999999</v>
      </c>
      <c r="F884" s="342"/>
      <c r="G884" s="336">
        <v>74124698.582322836</v>
      </c>
      <c r="H884" s="336">
        <f t="shared" si="44"/>
        <v>22459783.670443818</v>
      </c>
      <c r="I884" s="336">
        <f t="shared" si="45"/>
        <v>22459783.670443818</v>
      </c>
      <c r="J884" s="336"/>
    </row>
    <row r="885" spans="1:10">
      <c r="A885" s="303">
        <v>132</v>
      </c>
      <c r="B885" s="309" t="s">
        <v>560</v>
      </c>
      <c r="C885" s="352" t="s">
        <v>320</v>
      </c>
      <c r="D885" s="355">
        <v>0.41699999999999998</v>
      </c>
      <c r="E885" s="342">
        <f t="shared" si="46"/>
        <v>0.41699999999999998</v>
      </c>
      <c r="F885" s="342"/>
      <c r="G885" s="336">
        <v>19451475.52634649</v>
      </c>
      <c r="H885" s="336">
        <f t="shared" si="44"/>
        <v>8111265.2944864854</v>
      </c>
      <c r="I885" s="336">
        <f t="shared" si="45"/>
        <v>8111265.2944864854</v>
      </c>
      <c r="J885" s="336"/>
    </row>
    <row r="886" spans="1:10">
      <c r="A886" s="303">
        <v>133</v>
      </c>
      <c r="B886" s="309" t="s">
        <v>414</v>
      </c>
      <c r="C886" s="352" t="s">
        <v>320</v>
      </c>
      <c r="D886" s="355">
        <v>2.556</v>
      </c>
      <c r="E886" s="342">
        <f t="shared" si="46"/>
        <v>2.556</v>
      </c>
      <c r="F886" s="342"/>
      <c r="G886" s="336">
        <v>19341236.714466874</v>
      </c>
      <c r="H886" s="336">
        <f t="shared" si="44"/>
        <v>49436201.042177327</v>
      </c>
      <c r="I886" s="336">
        <f t="shared" si="45"/>
        <v>49436201.042177327</v>
      </c>
      <c r="J886" s="336"/>
    </row>
    <row r="887" spans="1:10" ht="33">
      <c r="A887" s="303">
        <v>134</v>
      </c>
      <c r="B887" s="307" t="s">
        <v>415</v>
      </c>
      <c r="C887" s="352" t="s">
        <v>320</v>
      </c>
      <c r="D887" s="355">
        <v>1.6</v>
      </c>
      <c r="E887" s="342">
        <f t="shared" si="46"/>
        <v>1.6</v>
      </c>
      <c r="F887" s="342"/>
      <c r="G887" s="336">
        <v>2997242.3936378886</v>
      </c>
      <c r="H887" s="336">
        <f t="shared" si="44"/>
        <v>4795587.8298206218</v>
      </c>
      <c r="I887" s="336">
        <f t="shared" si="45"/>
        <v>4795587.8298206218</v>
      </c>
      <c r="J887" s="336"/>
    </row>
    <row r="888" spans="1:10">
      <c r="A888" s="303">
        <v>135</v>
      </c>
      <c r="B888" s="307" t="s">
        <v>346</v>
      </c>
      <c r="C888" s="352" t="s">
        <v>321</v>
      </c>
      <c r="D888" s="355">
        <v>0.26600000000000001</v>
      </c>
      <c r="E888" s="342">
        <f t="shared" si="46"/>
        <v>0.26600000000000001</v>
      </c>
      <c r="F888" s="342"/>
      <c r="G888" s="336">
        <v>731754.59304715903</v>
      </c>
      <c r="H888" s="336">
        <f t="shared" si="44"/>
        <v>194646.7217505443</v>
      </c>
      <c r="I888" s="336">
        <f t="shared" si="45"/>
        <v>194646.7217505443</v>
      </c>
      <c r="J888" s="336"/>
    </row>
    <row r="889" spans="1:10">
      <c r="A889" s="303">
        <v>136</v>
      </c>
      <c r="B889" s="309" t="s">
        <v>697</v>
      </c>
      <c r="C889" s="352" t="s">
        <v>30</v>
      </c>
      <c r="D889" s="355">
        <v>0.18</v>
      </c>
      <c r="E889" s="342">
        <f t="shared" si="46"/>
        <v>0.18</v>
      </c>
      <c r="F889" s="342"/>
      <c r="G889" s="336">
        <v>836591.66007379594</v>
      </c>
      <c r="H889" s="336">
        <f t="shared" si="44"/>
        <v>150586.49881328325</v>
      </c>
      <c r="I889" s="336">
        <f t="shared" si="45"/>
        <v>150586.49881328325</v>
      </c>
      <c r="J889" s="336"/>
    </row>
    <row r="890" spans="1:10">
      <c r="A890" s="303">
        <v>137</v>
      </c>
      <c r="B890" s="307" t="s">
        <v>696</v>
      </c>
      <c r="C890" s="352" t="s">
        <v>321</v>
      </c>
      <c r="D890" s="355">
        <v>0.21</v>
      </c>
      <c r="E890" s="342">
        <f t="shared" si="46"/>
        <v>0.21</v>
      </c>
      <c r="F890" s="342"/>
      <c r="G890" s="336">
        <v>869256.05268892506</v>
      </c>
      <c r="H890" s="336">
        <f t="shared" si="44"/>
        <v>182543.77106467425</v>
      </c>
      <c r="I890" s="336">
        <f t="shared" si="45"/>
        <v>182543.77106467425</v>
      </c>
      <c r="J890" s="336"/>
    </row>
    <row r="891" spans="1:10">
      <c r="A891" s="303">
        <v>138</v>
      </c>
      <c r="B891" s="309" t="s">
        <v>413</v>
      </c>
      <c r="C891" s="352" t="s">
        <v>326</v>
      </c>
      <c r="D891" s="355">
        <v>2.0099999999999998</v>
      </c>
      <c r="E891" s="342">
        <f t="shared" si="46"/>
        <v>2.0099999999999998</v>
      </c>
      <c r="F891" s="342"/>
      <c r="G891" s="336">
        <v>2189987.3535037301</v>
      </c>
      <c r="H891" s="336">
        <f t="shared" si="44"/>
        <v>4401874.5805424973</v>
      </c>
      <c r="I891" s="336">
        <f t="shared" si="45"/>
        <v>4401874.5805424973</v>
      </c>
      <c r="J891" s="336"/>
    </row>
    <row r="892" spans="1:10">
      <c r="A892" s="303">
        <v>139</v>
      </c>
      <c r="B892" s="309" t="s">
        <v>416</v>
      </c>
      <c r="C892" s="352" t="s">
        <v>326</v>
      </c>
      <c r="D892" s="355">
        <v>0.23499999999999999</v>
      </c>
      <c r="E892" s="342">
        <f t="shared" si="46"/>
        <v>0.23499999999999999</v>
      </c>
      <c r="F892" s="342"/>
      <c r="G892" s="336">
        <v>807419.050136226</v>
      </c>
      <c r="H892" s="336">
        <f t="shared" si="44"/>
        <v>189743.47678201311</v>
      </c>
      <c r="I892" s="336">
        <f t="shared" si="45"/>
        <v>189743.47678201311</v>
      </c>
      <c r="J892" s="336"/>
    </row>
    <row r="893" spans="1:10">
      <c r="A893" s="303">
        <v>140</v>
      </c>
      <c r="B893" s="309" t="s">
        <v>396</v>
      </c>
      <c r="C893" s="352" t="s">
        <v>325</v>
      </c>
      <c r="D893" s="355">
        <v>1.512</v>
      </c>
      <c r="E893" s="342">
        <f t="shared" si="46"/>
        <v>1.512</v>
      </c>
      <c r="F893" s="342"/>
      <c r="G893" s="336">
        <v>2389507.7110639899</v>
      </c>
      <c r="H893" s="336">
        <f t="shared" si="44"/>
        <v>3612935.6591287525</v>
      </c>
      <c r="I893" s="336">
        <f t="shared" si="45"/>
        <v>3612935.6591287525</v>
      </c>
      <c r="J893" s="336"/>
    </row>
    <row r="894" spans="1:10">
      <c r="A894" s="303">
        <v>141</v>
      </c>
      <c r="B894" s="309" t="s">
        <v>353</v>
      </c>
      <c r="C894" s="352" t="s">
        <v>325</v>
      </c>
      <c r="D894" s="355">
        <v>0.20100000000000001</v>
      </c>
      <c r="E894" s="342">
        <f t="shared" si="46"/>
        <v>0.20100000000000001</v>
      </c>
      <c r="F894" s="342"/>
      <c r="G894" s="336">
        <v>636406.25898883003</v>
      </c>
      <c r="H894" s="336">
        <f t="shared" si="44"/>
        <v>127917.65805675484</v>
      </c>
      <c r="I894" s="336">
        <f t="shared" si="45"/>
        <v>127917.65805675484</v>
      </c>
      <c r="J894" s="336"/>
    </row>
    <row r="895" spans="1:10">
      <c r="A895" s="303"/>
      <c r="B895" s="308" t="s">
        <v>611</v>
      </c>
      <c r="C895" s="352"/>
      <c r="D895" s="340"/>
      <c r="E895" s="342">
        <f t="shared" si="46"/>
        <v>0</v>
      </c>
      <c r="F895" s="342"/>
      <c r="G895" s="336"/>
      <c r="H895" s="336">
        <f t="shared" si="44"/>
        <v>0</v>
      </c>
      <c r="I895" s="336">
        <f t="shared" si="45"/>
        <v>0</v>
      </c>
      <c r="J895" s="336"/>
    </row>
    <row r="896" spans="1:10">
      <c r="A896" s="305">
        <v>141</v>
      </c>
      <c r="B896" s="309" t="s">
        <v>563</v>
      </c>
      <c r="C896" s="352" t="s">
        <v>323</v>
      </c>
      <c r="D896" s="355">
        <v>13.6</v>
      </c>
      <c r="E896" s="342">
        <f t="shared" si="46"/>
        <v>13.6</v>
      </c>
      <c r="F896" s="342"/>
      <c r="G896" s="336">
        <v>2608057.7646897146</v>
      </c>
      <c r="H896" s="336">
        <f t="shared" si="44"/>
        <v>35469585.59978012</v>
      </c>
      <c r="I896" s="336">
        <f t="shared" si="45"/>
        <v>35469585.59978012</v>
      </c>
      <c r="J896" s="336"/>
    </row>
    <row r="897" spans="1:10">
      <c r="A897" s="305">
        <v>142</v>
      </c>
      <c r="B897" s="309" t="s">
        <v>388</v>
      </c>
      <c r="C897" s="352" t="s">
        <v>326</v>
      </c>
      <c r="D897" s="355">
        <v>13.94</v>
      </c>
      <c r="E897" s="342">
        <f t="shared" si="46"/>
        <v>13.94</v>
      </c>
      <c r="F897" s="342"/>
      <c r="G897" s="336">
        <v>30806.869839482002</v>
      </c>
      <c r="H897" s="336">
        <f t="shared" si="44"/>
        <v>429447.76556237909</v>
      </c>
      <c r="I897" s="336">
        <f t="shared" si="45"/>
        <v>429447.76556237909</v>
      </c>
      <c r="J897" s="336"/>
    </row>
    <row r="898" spans="1:10">
      <c r="A898" s="305">
        <v>143</v>
      </c>
      <c r="B898" s="307" t="s">
        <v>402</v>
      </c>
      <c r="C898" s="352" t="s">
        <v>331</v>
      </c>
      <c r="D898" s="355">
        <v>22.667000000000002</v>
      </c>
      <c r="E898" s="342">
        <f t="shared" si="46"/>
        <v>22.667000000000002</v>
      </c>
      <c r="F898" s="342"/>
      <c r="G898" s="336">
        <v>61715.820088263004</v>
      </c>
      <c r="H898" s="336">
        <f t="shared" si="44"/>
        <v>1398912.4939406577</v>
      </c>
      <c r="I898" s="336">
        <f t="shared" si="45"/>
        <v>1398912.4939406577</v>
      </c>
      <c r="J898" s="336"/>
    </row>
    <row r="899" spans="1:10">
      <c r="A899" s="305">
        <v>144</v>
      </c>
      <c r="B899" s="309" t="s">
        <v>440</v>
      </c>
      <c r="C899" s="352" t="s">
        <v>504</v>
      </c>
      <c r="D899" s="355">
        <v>0.28799999999999998</v>
      </c>
      <c r="E899" s="342">
        <f t="shared" si="46"/>
        <v>0.28799999999999998</v>
      </c>
      <c r="F899" s="342"/>
      <c r="G899" s="336">
        <v>23632475.075214513</v>
      </c>
      <c r="H899" s="336">
        <f t="shared" si="44"/>
        <v>6806152.8216617787</v>
      </c>
      <c r="I899" s="336">
        <f t="shared" si="45"/>
        <v>6806152.8216617787</v>
      </c>
      <c r="J899" s="336"/>
    </row>
    <row r="900" spans="1:10">
      <c r="A900" s="305">
        <v>145</v>
      </c>
      <c r="B900" s="309" t="s">
        <v>394</v>
      </c>
      <c r="C900" s="352" t="s">
        <v>504</v>
      </c>
      <c r="D900" s="355">
        <v>0.64900000000000002</v>
      </c>
      <c r="E900" s="342">
        <f t="shared" si="46"/>
        <v>0.64900000000000002</v>
      </c>
      <c r="F900" s="342"/>
      <c r="G900" s="336">
        <v>23872760.678466823</v>
      </c>
      <c r="H900" s="336">
        <f t="shared" si="44"/>
        <v>15493421.680324968</v>
      </c>
      <c r="I900" s="336">
        <f t="shared" si="45"/>
        <v>15493421.680324968</v>
      </c>
      <c r="J900" s="336"/>
    </row>
    <row r="901" spans="1:10">
      <c r="A901" s="305">
        <v>146</v>
      </c>
      <c r="B901" s="309" t="s">
        <v>400</v>
      </c>
      <c r="C901" s="352" t="s">
        <v>330</v>
      </c>
      <c r="D901" s="355">
        <v>0.93</v>
      </c>
      <c r="E901" s="342">
        <f t="shared" si="46"/>
        <v>0.93</v>
      </c>
      <c r="F901" s="342"/>
      <c r="G901" s="336">
        <v>192397.84604611999</v>
      </c>
      <c r="H901" s="336">
        <f t="shared" si="44"/>
        <v>178929.99682289161</v>
      </c>
      <c r="I901" s="336">
        <f t="shared" si="45"/>
        <v>178929.99682289161</v>
      </c>
      <c r="J901" s="336"/>
    </row>
    <row r="902" spans="1:10">
      <c r="A902" s="305">
        <v>147</v>
      </c>
      <c r="B902" s="307" t="s">
        <v>392</v>
      </c>
      <c r="C902" s="352" t="s">
        <v>329</v>
      </c>
      <c r="D902" s="355">
        <v>0.107</v>
      </c>
      <c r="E902" s="342">
        <f t="shared" si="46"/>
        <v>0.107</v>
      </c>
      <c r="F902" s="342"/>
      <c r="G902" s="336">
        <v>4683274.2184133623</v>
      </c>
      <c r="H902" s="336">
        <f t="shared" si="44"/>
        <v>501110.34137022973</v>
      </c>
      <c r="I902" s="336">
        <f t="shared" si="45"/>
        <v>501110.34137022973</v>
      </c>
      <c r="J902" s="336"/>
    </row>
    <row r="903" spans="1:10">
      <c r="A903" s="305">
        <v>148</v>
      </c>
      <c r="B903" s="307" t="s">
        <v>395</v>
      </c>
      <c r="C903" s="352" t="s">
        <v>67</v>
      </c>
      <c r="D903" s="355">
        <v>0.44</v>
      </c>
      <c r="E903" s="342">
        <f t="shared" si="46"/>
        <v>0.44</v>
      </c>
      <c r="F903" s="342"/>
      <c r="G903" s="336">
        <v>10629092.200973125</v>
      </c>
      <c r="H903" s="336">
        <f t="shared" si="44"/>
        <v>4676800.5684281755</v>
      </c>
      <c r="I903" s="336">
        <f t="shared" si="45"/>
        <v>4676800.5684281755</v>
      </c>
      <c r="J903" s="336"/>
    </row>
    <row r="904" spans="1:10">
      <c r="A904" s="303"/>
      <c r="B904" s="312" t="s">
        <v>612</v>
      </c>
      <c r="C904" s="352"/>
      <c r="D904" s="340"/>
      <c r="E904" s="342">
        <f t="shared" si="46"/>
        <v>0</v>
      </c>
      <c r="F904" s="342"/>
      <c r="G904" s="336"/>
      <c r="H904" s="336">
        <f t="shared" si="44"/>
        <v>0</v>
      </c>
      <c r="I904" s="336">
        <f t="shared" si="45"/>
        <v>0</v>
      </c>
      <c r="J904" s="336"/>
    </row>
    <row r="905" spans="1:10">
      <c r="A905" s="303">
        <v>149</v>
      </c>
      <c r="B905" s="307" t="s">
        <v>424</v>
      </c>
      <c r="C905" s="352" t="s">
        <v>328</v>
      </c>
      <c r="D905" s="355">
        <v>6.94</v>
      </c>
      <c r="E905" s="342">
        <f t="shared" si="46"/>
        <v>6.94</v>
      </c>
      <c r="F905" s="342"/>
      <c r="G905" s="336">
        <v>2005171.5633173073</v>
      </c>
      <c r="H905" s="336">
        <f t="shared" si="44"/>
        <v>13915890.649422113</v>
      </c>
      <c r="I905" s="336">
        <f t="shared" si="45"/>
        <v>13915890.649422113</v>
      </c>
      <c r="J905" s="336"/>
    </row>
    <row r="906" spans="1:10">
      <c r="A906" s="303">
        <v>150</v>
      </c>
      <c r="B906" s="307" t="s">
        <v>402</v>
      </c>
      <c r="C906" s="352" t="s">
        <v>331</v>
      </c>
      <c r="D906" s="355">
        <v>17.332999999999998</v>
      </c>
      <c r="E906" s="342">
        <f t="shared" si="46"/>
        <v>17.332999999999998</v>
      </c>
      <c r="F906" s="342"/>
      <c r="G906" s="336">
        <v>61715.820088263004</v>
      </c>
      <c r="H906" s="336">
        <f t="shared" si="44"/>
        <v>1069720.3095898626</v>
      </c>
      <c r="I906" s="336">
        <f t="shared" si="45"/>
        <v>1069720.3095898626</v>
      </c>
      <c r="J906" s="336"/>
    </row>
    <row r="907" spans="1:10">
      <c r="A907" s="303">
        <v>151</v>
      </c>
      <c r="B907" s="309" t="s">
        <v>425</v>
      </c>
      <c r="C907" s="352" t="s">
        <v>331</v>
      </c>
      <c r="D907" s="355">
        <v>95.28</v>
      </c>
      <c r="E907" s="342">
        <f t="shared" si="46"/>
        <v>95.28</v>
      </c>
      <c r="F907" s="342"/>
      <c r="G907" s="336">
        <v>155106.01099133803</v>
      </c>
      <c r="H907" s="336">
        <f t="shared" si="44"/>
        <v>14778500.727254687</v>
      </c>
      <c r="I907" s="336">
        <f t="shared" si="45"/>
        <v>14778500.727254687</v>
      </c>
      <c r="J907" s="336"/>
    </row>
    <row r="908" spans="1:10">
      <c r="A908" s="303">
        <v>152</v>
      </c>
      <c r="B908" s="309" t="s">
        <v>426</v>
      </c>
      <c r="C908" s="352" t="s">
        <v>323</v>
      </c>
      <c r="D908" s="355">
        <v>63.77</v>
      </c>
      <c r="E908" s="342">
        <f t="shared" si="46"/>
        <v>63.77</v>
      </c>
      <c r="F908" s="342"/>
      <c r="G908" s="336">
        <v>1913905.107270387</v>
      </c>
      <c r="H908" s="336">
        <f t="shared" si="44"/>
        <v>122049728.69063258</v>
      </c>
      <c r="I908" s="336">
        <f t="shared" si="45"/>
        <v>122049728.69063258</v>
      </c>
      <c r="J908" s="336"/>
    </row>
    <row r="909" spans="1:10">
      <c r="A909" s="303">
        <v>153</v>
      </c>
      <c r="B909" s="309" t="s">
        <v>427</v>
      </c>
      <c r="C909" s="352" t="s">
        <v>323</v>
      </c>
      <c r="D909" s="355">
        <v>2.92</v>
      </c>
      <c r="E909" s="342">
        <f t="shared" si="46"/>
        <v>2.92</v>
      </c>
      <c r="F909" s="342"/>
      <c r="G909" s="336">
        <v>2075012.3269724092</v>
      </c>
      <c r="H909" s="336">
        <f t="shared" si="44"/>
        <v>6059035.9947594348</v>
      </c>
      <c r="I909" s="336">
        <f t="shared" si="45"/>
        <v>6059035.9947594348</v>
      </c>
      <c r="J909" s="336"/>
    </row>
    <row r="910" spans="1:10">
      <c r="A910" s="303">
        <v>154</v>
      </c>
      <c r="B910" s="309" t="s">
        <v>428</v>
      </c>
      <c r="C910" s="352" t="s">
        <v>325</v>
      </c>
      <c r="D910" s="355">
        <v>1.371</v>
      </c>
      <c r="E910" s="342">
        <f t="shared" si="46"/>
        <v>1.371</v>
      </c>
      <c r="F910" s="342"/>
      <c r="G910" s="336">
        <v>7108481.6021530079</v>
      </c>
      <c r="H910" s="336">
        <f t="shared" si="44"/>
        <v>9745728.2765517738</v>
      </c>
      <c r="I910" s="336">
        <f t="shared" si="45"/>
        <v>9745728.2765517738</v>
      </c>
      <c r="J910" s="336"/>
    </row>
    <row r="911" spans="1:10">
      <c r="A911" s="303">
        <v>155</v>
      </c>
      <c r="B911" s="307" t="s">
        <v>429</v>
      </c>
      <c r="C911" s="352" t="s">
        <v>329</v>
      </c>
      <c r="D911" s="355">
        <v>0.46800000000000003</v>
      </c>
      <c r="E911" s="342">
        <f t="shared" si="46"/>
        <v>0.46800000000000003</v>
      </c>
      <c r="F911" s="342"/>
      <c r="G911" s="336">
        <v>4683274.2184133623</v>
      </c>
      <c r="H911" s="336">
        <f t="shared" si="44"/>
        <v>2191772.3342174538</v>
      </c>
      <c r="I911" s="336">
        <f t="shared" si="45"/>
        <v>2191772.3342174538</v>
      </c>
      <c r="J911" s="336"/>
    </row>
    <row r="912" spans="1:10">
      <c r="A912" s="303">
        <v>156</v>
      </c>
      <c r="B912" s="309" t="s">
        <v>430</v>
      </c>
      <c r="C912" s="352" t="s">
        <v>504</v>
      </c>
      <c r="D912" s="355">
        <v>0.22</v>
      </c>
      <c r="E912" s="342">
        <f t="shared" si="46"/>
        <v>0.22</v>
      </c>
      <c r="F912" s="342"/>
      <c r="G912" s="336">
        <v>25295809.643405579</v>
      </c>
      <c r="H912" s="336">
        <f t="shared" si="44"/>
        <v>5565078.1215492273</v>
      </c>
      <c r="I912" s="336">
        <f t="shared" si="45"/>
        <v>5565078.1215492273</v>
      </c>
      <c r="J912" s="336"/>
    </row>
    <row r="913" spans="1:10">
      <c r="A913" s="303">
        <v>157</v>
      </c>
      <c r="B913" s="309" t="s">
        <v>431</v>
      </c>
      <c r="C913" s="352" t="s">
        <v>67</v>
      </c>
      <c r="D913" s="355">
        <v>0.316</v>
      </c>
      <c r="E913" s="342">
        <f t="shared" si="46"/>
        <v>0.316</v>
      </c>
      <c r="F913" s="342"/>
      <c r="G913" s="336">
        <v>5558074.4905193755</v>
      </c>
      <c r="H913" s="336">
        <f t="shared" si="44"/>
        <v>1756351.5390041226</v>
      </c>
      <c r="I913" s="336">
        <f t="shared" si="45"/>
        <v>1756351.5390041226</v>
      </c>
      <c r="J913" s="336"/>
    </row>
    <row r="914" spans="1:10">
      <c r="A914" s="305"/>
      <c r="B914" s="312" t="s">
        <v>450</v>
      </c>
      <c r="C914" s="352"/>
      <c r="D914" s="340"/>
      <c r="E914" s="342">
        <f t="shared" si="46"/>
        <v>0</v>
      </c>
      <c r="F914" s="342"/>
      <c r="G914" s="336"/>
      <c r="H914" s="336">
        <f t="shared" si="44"/>
        <v>0</v>
      </c>
      <c r="I914" s="336">
        <f t="shared" si="45"/>
        <v>0</v>
      </c>
      <c r="J914" s="336"/>
    </row>
    <row r="915" spans="1:10">
      <c r="A915" s="303">
        <v>158</v>
      </c>
      <c r="B915" s="309" t="s">
        <v>417</v>
      </c>
      <c r="C915" s="352" t="s">
        <v>323</v>
      </c>
      <c r="D915" s="355">
        <v>0.19</v>
      </c>
      <c r="E915" s="342">
        <f t="shared" si="46"/>
        <v>0.19</v>
      </c>
      <c r="F915" s="342"/>
      <c r="G915" s="336">
        <v>1843516.7108116439</v>
      </c>
      <c r="H915" s="336">
        <f t="shared" si="44"/>
        <v>350268.17505421233</v>
      </c>
      <c r="I915" s="336">
        <f t="shared" si="45"/>
        <v>350268.17505421233</v>
      </c>
      <c r="J915" s="336"/>
    </row>
    <row r="916" spans="1:10">
      <c r="A916" s="303">
        <v>159</v>
      </c>
      <c r="B916" s="309" t="s">
        <v>401</v>
      </c>
      <c r="C916" s="352" t="s">
        <v>106</v>
      </c>
      <c r="D916" s="355">
        <v>3.5000000000000003E-2</v>
      </c>
      <c r="E916" s="342">
        <f t="shared" si="46"/>
        <v>3.5000000000000003E-2</v>
      </c>
      <c r="F916" s="342"/>
      <c r="G916" s="336">
        <v>3027931.0010723178</v>
      </c>
      <c r="H916" s="336">
        <f t="shared" si="44"/>
        <v>105977.58503753113</v>
      </c>
      <c r="I916" s="336">
        <f t="shared" si="45"/>
        <v>105977.58503753113</v>
      </c>
      <c r="J916" s="336"/>
    </row>
    <row r="917" spans="1:10">
      <c r="A917" s="303">
        <v>160</v>
      </c>
      <c r="B917" s="309" t="s">
        <v>418</v>
      </c>
      <c r="C917" s="352" t="s">
        <v>509</v>
      </c>
      <c r="D917" s="355">
        <v>2</v>
      </c>
      <c r="E917" s="342">
        <f t="shared" si="46"/>
        <v>2</v>
      </c>
      <c r="F917" s="342"/>
      <c r="G917" s="336">
        <v>608345.70500000007</v>
      </c>
      <c r="H917" s="336">
        <f t="shared" si="44"/>
        <v>1216691.4100000001</v>
      </c>
      <c r="I917" s="336">
        <f t="shared" si="45"/>
        <v>1216691.4100000001</v>
      </c>
      <c r="J917" s="336"/>
    </row>
    <row r="918" spans="1:10">
      <c r="A918" s="303">
        <v>161</v>
      </c>
      <c r="B918" s="309" t="s">
        <v>419</v>
      </c>
      <c r="C918" s="352" t="s">
        <v>504</v>
      </c>
      <c r="D918" s="355">
        <v>8.0000000000000002E-3</v>
      </c>
      <c r="E918" s="342">
        <f t="shared" si="46"/>
        <v>8.0000000000000002E-3</v>
      </c>
      <c r="F918" s="342"/>
      <c r="G918" s="336">
        <v>90229834.965600014</v>
      </c>
      <c r="H918" s="336">
        <f t="shared" si="44"/>
        <v>721838.67972480017</v>
      </c>
      <c r="I918" s="336">
        <f t="shared" si="45"/>
        <v>721838.67972480017</v>
      </c>
      <c r="J918" s="336"/>
    </row>
    <row r="919" spans="1:10">
      <c r="A919" s="303">
        <v>162</v>
      </c>
      <c r="B919" s="309" t="s">
        <v>420</v>
      </c>
      <c r="C919" s="352" t="s">
        <v>320</v>
      </c>
      <c r="D919" s="355">
        <v>1.8089999999999999</v>
      </c>
      <c r="E919" s="342">
        <f t="shared" si="46"/>
        <v>1.8089999999999999</v>
      </c>
      <c r="F919" s="342"/>
      <c r="G919" s="336">
        <v>19341236.714466874</v>
      </c>
      <c r="H919" s="336">
        <f t="shared" si="44"/>
        <v>34988297.216470577</v>
      </c>
      <c r="I919" s="336">
        <f t="shared" si="45"/>
        <v>34988297.216470577</v>
      </c>
      <c r="J919" s="336"/>
    </row>
    <row r="920" spans="1:10">
      <c r="A920" s="303"/>
      <c r="B920" s="312" t="s">
        <v>565</v>
      </c>
      <c r="C920" s="370"/>
      <c r="D920" s="355">
        <v>0</v>
      </c>
      <c r="E920" s="342">
        <f t="shared" si="46"/>
        <v>0</v>
      </c>
      <c r="F920" s="342"/>
      <c r="G920" s="336">
        <v>0</v>
      </c>
      <c r="H920" s="336">
        <f t="shared" si="44"/>
        <v>0</v>
      </c>
      <c r="I920" s="336">
        <f t="shared" si="45"/>
        <v>0</v>
      </c>
      <c r="J920" s="336"/>
    </row>
    <row r="921" spans="1:10">
      <c r="A921" s="303">
        <v>163</v>
      </c>
      <c r="B921" s="309" t="s">
        <v>359</v>
      </c>
      <c r="C921" s="352" t="s">
        <v>323</v>
      </c>
      <c r="D921" s="355">
        <v>0.9</v>
      </c>
      <c r="E921" s="342">
        <f t="shared" si="46"/>
        <v>0.9</v>
      </c>
      <c r="F921" s="342"/>
      <c r="G921" s="336">
        <v>1843516.7108116439</v>
      </c>
      <c r="H921" s="336">
        <f t="shared" si="44"/>
        <v>1659165.0397304795</v>
      </c>
      <c r="I921" s="336">
        <f t="shared" si="45"/>
        <v>1659165.0397304795</v>
      </c>
      <c r="J921" s="336"/>
    </row>
    <row r="922" spans="1:10">
      <c r="A922" s="303">
        <v>164</v>
      </c>
      <c r="B922" s="309" t="s">
        <v>360</v>
      </c>
      <c r="C922" s="352" t="s">
        <v>323</v>
      </c>
      <c r="D922" s="355">
        <v>0.4</v>
      </c>
      <c r="E922" s="342">
        <f t="shared" si="46"/>
        <v>0.4</v>
      </c>
      <c r="F922" s="342"/>
      <c r="G922" s="336">
        <v>1760696.5265329438</v>
      </c>
      <c r="H922" s="336">
        <f t="shared" si="44"/>
        <v>704278.61061317753</v>
      </c>
      <c r="I922" s="336">
        <f t="shared" si="45"/>
        <v>704278.61061317753</v>
      </c>
      <c r="J922" s="336"/>
    </row>
    <row r="923" spans="1:10">
      <c r="A923" s="303">
        <v>165</v>
      </c>
      <c r="B923" s="307" t="s">
        <v>402</v>
      </c>
      <c r="C923" s="352" t="s">
        <v>331</v>
      </c>
      <c r="D923" s="355">
        <v>3.3330000000000002</v>
      </c>
      <c r="E923" s="342">
        <f t="shared" si="46"/>
        <v>3.3330000000000002</v>
      </c>
      <c r="F923" s="342"/>
      <c r="G923" s="336">
        <v>61715.820088263004</v>
      </c>
      <c r="H923" s="336">
        <f t="shared" si="44"/>
        <v>205698.82835418062</v>
      </c>
      <c r="I923" s="336">
        <f t="shared" si="45"/>
        <v>205698.82835418062</v>
      </c>
      <c r="J923" s="336"/>
    </row>
    <row r="924" spans="1:10">
      <c r="A924" s="303">
        <v>166</v>
      </c>
      <c r="B924" s="307" t="s">
        <v>566</v>
      </c>
      <c r="C924" s="352" t="s">
        <v>567</v>
      </c>
      <c r="D924" s="355">
        <v>20</v>
      </c>
      <c r="E924" s="342">
        <f t="shared" si="46"/>
        <v>20</v>
      </c>
      <c r="F924" s="342"/>
      <c r="G924" s="336">
        <v>16110.089290669001</v>
      </c>
      <c r="H924" s="336">
        <f t="shared" si="44"/>
        <v>322201.78581338003</v>
      </c>
      <c r="I924" s="336">
        <f t="shared" si="45"/>
        <v>322201.78581338003</v>
      </c>
      <c r="J924" s="336"/>
    </row>
    <row r="925" spans="1:10">
      <c r="A925" s="303">
        <v>167</v>
      </c>
      <c r="B925" s="309" t="s">
        <v>568</v>
      </c>
      <c r="C925" s="352" t="s">
        <v>569</v>
      </c>
      <c r="D925" s="355">
        <v>12</v>
      </c>
      <c r="E925" s="342">
        <f t="shared" si="46"/>
        <v>12</v>
      </c>
      <c r="F925" s="342"/>
      <c r="G925" s="336">
        <v>635997.81568249292</v>
      </c>
      <c r="H925" s="336">
        <f t="shared" si="44"/>
        <v>7631973.788189915</v>
      </c>
      <c r="I925" s="336">
        <f t="shared" si="45"/>
        <v>7631973.788189915</v>
      </c>
      <c r="J925" s="336"/>
    </row>
    <row r="926" spans="1:10">
      <c r="A926" s="303">
        <v>168</v>
      </c>
      <c r="B926" s="309" t="s">
        <v>570</v>
      </c>
      <c r="C926" s="352" t="s">
        <v>509</v>
      </c>
      <c r="D926" s="355">
        <v>16</v>
      </c>
      <c r="E926" s="342">
        <f t="shared" si="46"/>
        <v>16</v>
      </c>
      <c r="F926" s="342"/>
      <c r="G926" s="336">
        <v>445808.99456036906</v>
      </c>
      <c r="H926" s="336">
        <f t="shared" ref="H926:H982" si="47">D926*G926</f>
        <v>7132943.9129659049</v>
      </c>
      <c r="I926" s="336">
        <f t="shared" ref="I926:I982" si="48">E926*G926</f>
        <v>7132943.9129659049</v>
      </c>
      <c r="J926" s="336"/>
    </row>
    <row r="927" spans="1:10">
      <c r="A927" s="303">
        <v>169</v>
      </c>
      <c r="B927" s="309" t="s">
        <v>571</v>
      </c>
      <c r="C927" s="352" t="s">
        <v>509</v>
      </c>
      <c r="D927" s="355">
        <v>16</v>
      </c>
      <c r="E927" s="342">
        <f t="shared" ref="E927:E982" si="49">D927</f>
        <v>16</v>
      </c>
      <c r="F927" s="342"/>
      <c r="G927" s="336">
        <v>74875.189371400003</v>
      </c>
      <c r="H927" s="336">
        <f t="shared" si="47"/>
        <v>1198003.0299424001</v>
      </c>
      <c r="I927" s="336">
        <f t="shared" si="48"/>
        <v>1198003.0299424001</v>
      </c>
      <c r="J927" s="336"/>
    </row>
    <row r="928" spans="1:10">
      <c r="A928" s="303">
        <v>170</v>
      </c>
      <c r="B928" s="309" t="s">
        <v>572</v>
      </c>
      <c r="C928" s="352" t="s">
        <v>569</v>
      </c>
      <c r="D928" s="355">
        <v>8</v>
      </c>
      <c r="E928" s="342">
        <f t="shared" si="49"/>
        <v>8</v>
      </c>
      <c r="F928" s="342"/>
      <c r="G928" s="336">
        <v>198411.34334004502</v>
      </c>
      <c r="H928" s="336">
        <f t="shared" si="47"/>
        <v>1587290.7467203601</v>
      </c>
      <c r="I928" s="336">
        <f t="shared" si="48"/>
        <v>1587290.7467203601</v>
      </c>
      <c r="J928" s="336"/>
    </row>
    <row r="929" spans="1:10">
      <c r="A929" s="303">
        <v>171</v>
      </c>
      <c r="B929" s="309" t="s">
        <v>573</v>
      </c>
      <c r="C929" s="352" t="s">
        <v>574</v>
      </c>
      <c r="D929" s="355">
        <v>16</v>
      </c>
      <c r="E929" s="342">
        <f t="shared" si="49"/>
        <v>16</v>
      </c>
      <c r="F929" s="342"/>
      <c r="G929" s="336">
        <v>30562.193196930999</v>
      </c>
      <c r="H929" s="336">
        <f t="shared" si="47"/>
        <v>488995.09115089598</v>
      </c>
      <c r="I929" s="336">
        <f t="shared" si="48"/>
        <v>488995.09115089598</v>
      </c>
      <c r="J929" s="336"/>
    </row>
    <row r="930" spans="1:10">
      <c r="A930" s="303">
        <v>172</v>
      </c>
      <c r="B930" s="309" t="s">
        <v>575</v>
      </c>
      <c r="C930" s="352" t="s">
        <v>574</v>
      </c>
      <c r="D930" s="355">
        <v>128</v>
      </c>
      <c r="E930" s="342">
        <f t="shared" si="49"/>
        <v>128</v>
      </c>
      <c r="F930" s="342"/>
      <c r="G930" s="336">
        <v>4473.0442997240007</v>
      </c>
      <c r="H930" s="336">
        <f t="shared" si="47"/>
        <v>572549.67036467209</v>
      </c>
      <c r="I930" s="336">
        <f t="shared" si="48"/>
        <v>572549.67036467209</v>
      </c>
      <c r="J930" s="336"/>
    </row>
    <row r="931" spans="1:10">
      <c r="A931" s="303">
        <v>173</v>
      </c>
      <c r="B931" s="309" t="s">
        <v>576</v>
      </c>
      <c r="C931" s="352" t="s">
        <v>577</v>
      </c>
      <c r="D931" s="355">
        <v>16</v>
      </c>
      <c r="E931" s="342">
        <f t="shared" si="49"/>
        <v>16</v>
      </c>
      <c r="F931" s="342"/>
      <c r="G931" s="336">
        <v>58659.612935484001</v>
      </c>
      <c r="H931" s="336">
        <f t="shared" si="47"/>
        <v>938553.80696774402</v>
      </c>
      <c r="I931" s="336">
        <f t="shared" si="48"/>
        <v>938553.80696774402</v>
      </c>
      <c r="J931" s="336"/>
    </row>
    <row r="932" spans="1:10">
      <c r="A932" s="303">
        <v>174</v>
      </c>
      <c r="B932" s="309" t="s">
        <v>361</v>
      </c>
      <c r="C932" s="352" t="s">
        <v>67</v>
      </c>
      <c r="D932" s="355">
        <v>0.17899999999999999</v>
      </c>
      <c r="E932" s="342">
        <f t="shared" si="49"/>
        <v>0.17899999999999999</v>
      </c>
      <c r="F932" s="342"/>
      <c r="G932" s="336">
        <v>4683274.2184133623</v>
      </c>
      <c r="H932" s="336">
        <f t="shared" si="47"/>
        <v>838306.08509599185</v>
      </c>
      <c r="I932" s="336">
        <f t="shared" si="48"/>
        <v>838306.08509599185</v>
      </c>
      <c r="J932" s="336"/>
    </row>
    <row r="933" spans="1:10">
      <c r="A933" s="303"/>
      <c r="B933" s="312" t="s">
        <v>695</v>
      </c>
      <c r="C933" s="352"/>
      <c r="D933" s="355">
        <v>0</v>
      </c>
      <c r="E933" s="342">
        <f t="shared" si="49"/>
        <v>0</v>
      </c>
      <c r="F933" s="342"/>
      <c r="G933" s="336">
        <v>0</v>
      </c>
      <c r="H933" s="336">
        <f t="shared" si="47"/>
        <v>0</v>
      </c>
      <c r="I933" s="336">
        <f t="shared" si="48"/>
        <v>0</v>
      </c>
      <c r="J933" s="336"/>
    </row>
    <row r="934" spans="1:10">
      <c r="A934" s="305">
        <v>175</v>
      </c>
      <c r="B934" s="309" t="s">
        <v>432</v>
      </c>
      <c r="C934" s="352" t="s">
        <v>509</v>
      </c>
      <c r="D934" s="355">
        <v>2</v>
      </c>
      <c r="E934" s="342">
        <f t="shared" si="49"/>
        <v>2</v>
      </c>
      <c r="F934" s="342"/>
      <c r="G934" s="336">
        <v>3716439.2713041548</v>
      </c>
      <c r="H934" s="336">
        <f t="shared" si="47"/>
        <v>7432878.5426083095</v>
      </c>
      <c r="I934" s="336">
        <f t="shared" si="48"/>
        <v>7432878.5426083095</v>
      </c>
      <c r="J934" s="336"/>
    </row>
    <row r="935" spans="1:10">
      <c r="A935" s="305">
        <v>176</v>
      </c>
      <c r="B935" s="309" t="s">
        <v>433</v>
      </c>
      <c r="C935" s="352" t="s">
        <v>90</v>
      </c>
      <c r="D935" s="355">
        <v>100</v>
      </c>
      <c r="E935" s="342">
        <f t="shared" si="49"/>
        <v>100</v>
      </c>
      <c r="F935" s="342"/>
      <c r="G935" s="336">
        <v>8516.8398699999998</v>
      </c>
      <c r="H935" s="336">
        <f t="shared" si="47"/>
        <v>851683.98699999996</v>
      </c>
      <c r="I935" s="336">
        <f t="shared" si="48"/>
        <v>851683.98699999996</v>
      </c>
      <c r="J935" s="336"/>
    </row>
    <row r="936" spans="1:10">
      <c r="A936" s="305">
        <v>177</v>
      </c>
      <c r="B936" s="309" t="s">
        <v>434</v>
      </c>
      <c r="C936" s="352" t="s">
        <v>509</v>
      </c>
      <c r="D936" s="355">
        <v>2</v>
      </c>
      <c r="E936" s="342">
        <f t="shared" si="49"/>
        <v>2</v>
      </c>
      <c r="F936" s="342"/>
      <c r="G936" s="336">
        <v>1196980.644150577</v>
      </c>
      <c r="H936" s="336">
        <f t="shared" si="47"/>
        <v>2393961.288301154</v>
      </c>
      <c r="I936" s="336">
        <f t="shared" si="48"/>
        <v>2393961.288301154</v>
      </c>
      <c r="J936" s="336"/>
    </row>
    <row r="937" spans="1:10">
      <c r="A937" s="305">
        <v>178</v>
      </c>
      <c r="B937" s="309" t="s">
        <v>435</v>
      </c>
      <c r="C937" s="352" t="s">
        <v>509</v>
      </c>
      <c r="D937" s="355">
        <v>2</v>
      </c>
      <c r="E937" s="342">
        <f t="shared" si="49"/>
        <v>2</v>
      </c>
      <c r="F937" s="342"/>
      <c r="G937" s="336">
        <v>2188031.1570547321</v>
      </c>
      <c r="H937" s="336">
        <f t="shared" si="47"/>
        <v>4376062.3141094642</v>
      </c>
      <c r="I937" s="336">
        <f t="shared" si="48"/>
        <v>4376062.3141094642</v>
      </c>
      <c r="J937" s="336"/>
    </row>
    <row r="938" spans="1:10">
      <c r="A938" s="305">
        <v>179</v>
      </c>
      <c r="B938" s="309" t="s">
        <v>436</v>
      </c>
      <c r="C938" s="352" t="s">
        <v>509</v>
      </c>
      <c r="D938" s="355">
        <v>2</v>
      </c>
      <c r="E938" s="342">
        <f t="shared" si="49"/>
        <v>2</v>
      </c>
      <c r="F938" s="342"/>
      <c r="G938" s="336">
        <v>1303164.7102372251</v>
      </c>
      <c r="H938" s="336">
        <f t="shared" si="47"/>
        <v>2606329.4204744501</v>
      </c>
      <c r="I938" s="336">
        <f t="shared" si="48"/>
        <v>2606329.4204744501</v>
      </c>
      <c r="J938" s="336"/>
    </row>
    <row r="939" spans="1:10">
      <c r="A939" s="305">
        <v>180</v>
      </c>
      <c r="B939" s="309" t="s">
        <v>437</v>
      </c>
      <c r="C939" s="352" t="s">
        <v>323</v>
      </c>
      <c r="D939" s="355">
        <v>0.4</v>
      </c>
      <c r="E939" s="342">
        <f t="shared" si="49"/>
        <v>0.4</v>
      </c>
      <c r="F939" s="342"/>
      <c r="G939" s="336">
        <v>1760696.5265329438</v>
      </c>
      <c r="H939" s="336">
        <f t="shared" si="47"/>
        <v>704278.61061317753</v>
      </c>
      <c r="I939" s="336">
        <f t="shared" si="48"/>
        <v>704278.61061317753</v>
      </c>
      <c r="J939" s="336"/>
    </row>
    <row r="940" spans="1:10">
      <c r="A940" s="305"/>
      <c r="B940" s="308" t="s">
        <v>578</v>
      </c>
      <c r="C940" s="352" t="s">
        <v>318</v>
      </c>
      <c r="D940" s="355">
        <v>0</v>
      </c>
      <c r="E940" s="342">
        <f t="shared" si="49"/>
        <v>0</v>
      </c>
      <c r="F940" s="342"/>
      <c r="G940" s="336">
        <v>0</v>
      </c>
      <c r="H940" s="336">
        <f t="shared" si="47"/>
        <v>0</v>
      </c>
      <c r="I940" s="336">
        <f t="shared" si="48"/>
        <v>0</v>
      </c>
      <c r="J940" s="336"/>
    </row>
    <row r="941" spans="1:10">
      <c r="A941" s="305">
        <v>181</v>
      </c>
      <c r="B941" s="309" t="s">
        <v>445</v>
      </c>
      <c r="C941" s="352" t="s">
        <v>579</v>
      </c>
      <c r="D941" s="355">
        <v>1E-3</v>
      </c>
      <c r="E941" s="342">
        <f t="shared" si="49"/>
        <v>1E-3</v>
      </c>
      <c r="F941" s="342"/>
      <c r="G941" s="336">
        <v>23642582.73910309</v>
      </c>
      <c r="H941" s="336">
        <f t="shared" si="47"/>
        <v>23642.582739103091</v>
      </c>
      <c r="I941" s="336">
        <f t="shared" si="48"/>
        <v>23642.582739103091</v>
      </c>
      <c r="J941" s="336"/>
    </row>
    <row r="942" spans="1:10">
      <c r="A942" s="305">
        <v>182</v>
      </c>
      <c r="B942" s="309" t="s">
        <v>272</v>
      </c>
      <c r="C942" s="352" t="s">
        <v>504</v>
      </c>
      <c r="D942" s="355">
        <v>2E-3</v>
      </c>
      <c r="E942" s="342">
        <f t="shared" si="49"/>
        <v>2E-3</v>
      </c>
      <c r="F942" s="342"/>
      <c r="G942" s="336">
        <v>28424880.916324392</v>
      </c>
      <c r="H942" s="336">
        <f t="shared" si="47"/>
        <v>56849.761832648786</v>
      </c>
      <c r="I942" s="336">
        <f t="shared" si="48"/>
        <v>56849.761832648786</v>
      </c>
      <c r="J942" s="336"/>
    </row>
    <row r="943" spans="1:10">
      <c r="A943" s="305">
        <v>183</v>
      </c>
      <c r="B943" s="309" t="s">
        <v>446</v>
      </c>
      <c r="C943" s="352" t="s">
        <v>574</v>
      </c>
      <c r="D943" s="355">
        <v>4</v>
      </c>
      <c r="E943" s="342">
        <f t="shared" si="49"/>
        <v>4</v>
      </c>
      <c r="F943" s="342"/>
      <c r="G943" s="336">
        <v>2433.3828200000003</v>
      </c>
      <c r="H943" s="336">
        <f t="shared" si="47"/>
        <v>9733.5312800000011</v>
      </c>
      <c r="I943" s="336">
        <f t="shared" si="48"/>
        <v>9733.5312800000011</v>
      </c>
      <c r="J943" s="336"/>
    </row>
    <row r="944" spans="1:10">
      <c r="A944" s="305">
        <v>184</v>
      </c>
      <c r="B944" s="309" t="s">
        <v>444</v>
      </c>
      <c r="C944" s="352" t="s">
        <v>331</v>
      </c>
      <c r="D944" s="355">
        <v>31.25</v>
      </c>
      <c r="E944" s="342">
        <f t="shared" si="49"/>
        <v>31.25</v>
      </c>
      <c r="F944" s="342"/>
      <c r="G944" s="336">
        <v>37265.432851184996</v>
      </c>
      <c r="H944" s="336">
        <f t="shared" si="47"/>
        <v>1164544.7765995311</v>
      </c>
      <c r="I944" s="336">
        <f t="shared" si="48"/>
        <v>1164544.7765995311</v>
      </c>
      <c r="J944" s="336"/>
    </row>
    <row r="945" spans="1:10">
      <c r="A945" s="369"/>
      <c r="B945" s="312" t="s">
        <v>694</v>
      </c>
      <c r="C945" s="368" t="s">
        <v>318</v>
      </c>
      <c r="D945" s="355">
        <v>0</v>
      </c>
      <c r="E945" s="342">
        <f t="shared" si="49"/>
        <v>0</v>
      </c>
      <c r="F945" s="342"/>
      <c r="G945" s="336">
        <v>0</v>
      </c>
      <c r="H945" s="336">
        <f t="shared" si="47"/>
        <v>0</v>
      </c>
      <c r="I945" s="336">
        <f t="shared" si="48"/>
        <v>0</v>
      </c>
      <c r="J945" s="336"/>
    </row>
    <row r="946" spans="1:10" ht="33">
      <c r="A946" s="303">
        <v>185</v>
      </c>
      <c r="B946" s="309" t="s">
        <v>439</v>
      </c>
      <c r="C946" s="352" t="s">
        <v>323</v>
      </c>
      <c r="D946" s="355">
        <v>35</v>
      </c>
      <c r="E946" s="342">
        <f t="shared" si="49"/>
        <v>35</v>
      </c>
      <c r="F946" s="342"/>
      <c r="G946" s="336">
        <v>1925346.7504041949</v>
      </c>
      <c r="H946" s="336">
        <f t="shared" si="47"/>
        <v>67387136.26414682</v>
      </c>
      <c r="I946" s="336">
        <f t="shared" si="48"/>
        <v>67387136.26414682</v>
      </c>
      <c r="J946" s="336"/>
    </row>
    <row r="947" spans="1:10" ht="33">
      <c r="A947" s="303">
        <v>186</v>
      </c>
      <c r="B947" s="309" t="s">
        <v>397</v>
      </c>
      <c r="C947" s="352" t="s">
        <v>323</v>
      </c>
      <c r="D947" s="355">
        <v>4.05</v>
      </c>
      <c r="E947" s="342">
        <f t="shared" si="49"/>
        <v>4.05</v>
      </c>
      <c r="F947" s="342"/>
      <c r="G947" s="336">
        <v>2426266.6352811917</v>
      </c>
      <c r="H947" s="336">
        <f t="shared" si="47"/>
        <v>9826379.8728888258</v>
      </c>
      <c r="I947" s="336">
        <f t="shared" si="48"/>
        <v>9826379.8728888258</v>
      </c>
      <c r="J947" s="336"/>
    </row>
    <row r="948" spans="1:10">
      <c r="A948" s="303">
        <v>187</v>
      </c>
      <c r="B948" s="309" t="s">
        <v>388</v>
      </c>
      <c r="C948" s="352" t="s">
        <v>326</v>
      </c>
      <c r="D948" s="355">
        <v>40.026000000000003</v>
      </c>
      <c r="E948" s="342">
        <f t="shared" si="49"/>
        <v>40.026000000000003</v>
      </c>
      <c r="F948" s="342"/>
      <c r="G948" s="336">
        <v>30806.869839482002</v>
      </c>
      <c r="H948" s="336">
        <f t="shared" si="47"/>
        <v>1233075.7721951066</v>
      </c>
      <c r="I948" s="336">
        <f t="shared" si="48"/>
        <v>1233075.7721951066</v>
      </c>
      <c r="J948" s="336"/>
    </row>
    <row r="949" spans="1:10">
      <c r="A949" s="303">
        <v>188</v>
      </c>
      <c r="B949" s="309" t="s">
        <v>353</v>
      </c>
      <c r="C949" s="352" t="s">
        <v>325</v>
      </c>
      <c r="D949" s="355">
        <v>1.46</v>
      </c>
      <c r="E949" s="342">
        <f t="shared" si="49"/>
        <v>1.46</v>
      </c>
      <c r="F949" s="342"/>
      <c r="G949" s="336">
        <v>636406.25898883003</v>
      </c>
      <c r="H949" s="336">
        <f t="shared" si="47"/>
        <v>929153.13812369178</v>
      </c>
      <c r="I949" s="336">
        <f t="shared" si="48"/>
        <v>929153.13812369178</v>
      </c>
      <c r="J949" s="336"/>
    </row>
    <row r="950" spans="1:10">
      <c r="A950" s="303">
        <v>189</v>
      </c>
      <c r="B950" s="307" t="s">
        <v>402</v>
      </c>
      <c r="C950" s="352" t="s">
        <v>331</v>
      </c>
      <c r="D950" s="355">
        <v>136</v>
      </c>
      <c r="E950" s="342">
        <f t="shared" si="49"/>
        <v>136</v>
      </c>
      <c r="F950" s="342"/>
      <c r="G950" s="336">
        <v>61715.820088263004</v>
      </c>
      <c r="H950" s="336">
        <f t="shared" si="47"/>
        <v>8393351.5320037678</v>
      </c>
      <c r="I950" s="336">
        <f t="shared" si="48"/>
        <v>8393351.5320037678</v>
      </c>
      <c r="J950" s="336"/>
    </row>
    <row r="951" spans="1:10">
      <c r="A951" s="303">
        <v>190</v>
      </c>
      <c r="B951" s="307" t="s">
        <v>389</v>
      </c>
      <c r="C951" s="352" t="s">
        <v>328</v>
      </c>
      <c r="D951" s="355">
        <v>1.06</v>
      </c>
      <c r="E951" s="342">
        <f t="shared" si="49"/>
        <v>1.06</v>
      </c>
      <c r="F951" s="342"/>
      <c r="G951" s="336">
        <v>1453528.4231198058</v>
      </c>
      <c r="H951" s="336">
        <f t="shared" si="47"/>
        <v>1540740.1285069941</v>
      </c>
      <c r="I951" s="336">
        <f t="shared" si="48"/>
        <v>1540740.1285069941</v>
      </c>
      <c r="J951" s="336"/>
    </row>
    <row r="952" spans="1:10">
      <c r="A952" s="303">
        <v>191</v>
      </c>
      <c r="B952" s="309" t="s">
        <v>412</v>
      </c>
      <c r="C952" s="352" t="s">
        <v>504</v>
      </c>
      <c r="D952" s="355">
        <v>1.911</v>
      </c>
      <c r="E952" s="342">
        <f t="shared" si="49"/>
        <v>1.911</v>
      </c>
      <c r="F952" s="342"/>
      <c r="G952" s="336">
        <v>22970498.221207418</v>
      </c>
      <c r="H952" s="336">
        <f t="shared" si="47"/>
        <v>43896622.100727379</v>
      </c>
      <c r="I952" s="336">
        <f t="shared" si="48"/>
        <v>43896622.100727379</v>
      </c>
      <c r="J952" s="336"/>
    </row>
    <row r="953" spans="1:10">
      <c r="A953" s="303">
        <v>192</v>
      </c>
      <c r="B953" s="307" t="s">
        <v>350</v>
      </c>
      <c r="C953" s="352" t="s">
        <v>693</v>
      </c>
      <c r="D953" s="355">
        <v>43</v>
      </c>
      <c r="E953" s="342">
        <f t="shared" si="49"/>
        <v>43</v>
      </c>
      <c r="F953" s="342"/>
      <c r="G953" s="336">
        <v>3940155.8492659442</v>
      </c>
      <c r="H953" s="336">
        <f t="shared" si="47"/>
        <v>169426701.5184356</v>
      </c>
      <c r="I953" s="336">
        <f t="shared" si="48"/>
        <v>169426701.5184356</v>
      </c>
      <c r="J953" s="336"/>
    </row>
    <row r="954" spans="1:10">
      <c r="A954" s="303">
        <v>193</v>
      </c>
      <c r="B954" s="307" t="s">
        <v>442</v>
      </c>
      <c r="C954" s="352" t="s">
        <v>325</v>
      </c>
      <c r="D954" s="355">
        <v>6.52</v>
      </c>
      <c r="E954" s="342">
        <f t="shared" si="49"/>
        <v>6.52</v>
      </c>
      <c r="F954" s="342"/>
      <c r="G954" s="336">
        <v>3098548.0138470004</v>
      </c>
      <c r="H954" s="336">
        <f t="shared" si="47"/>
        <v>20202533.050282441</v>
      </c>
      <c r="I954" s="336">
        <f t="shared" si="48"/>
        <v>20202533.050282441</v>
      </c>
      <c r="J954" s="336"/>
    </row>
    <row r="955" spans="1:10">
      <c r="A955" s="303">
        <v>194</v>
      </c>
      <c r="B955" s="307" t="s">
        <v>348</v>
      </c>
      <c r="C955" s="352" t="s">
        <v>322</v>
      </c>
      <c r="D955" s="355">
        <v>0.13600000000000001</v>
      </c>
      <c r="E955" s="342">
        <f t="shared" si="49"/>
        <v>0.13600000000000001</v>
      </c>
      <c r="F955" s="342"/>
      <c r="G955" s="336">
        <v>81099718.991999239</v>
      </c>
      <c r="H955" s="336">
        <f t="shared" si="47"/>
        <v>11029561.782911897</v>
      </c>
      <c r="I955" s="336">
        <f t="shared" si="48"/>
        <v>11029561.782911897</v>
      </c>
      <c r="J955" s="336"/>
    </row>
    <row r="956" spans="1:10">
      <c r="A956" s="303">
        <v>195</v>
      </c>
      <c r="B956" s="309" t="s">
        <v>399</v>
      </c>
      <c r="C956" s="352" t="s">
        <v>323</v>
      </c>
      <c r="D956" s="355">
        <v>3.96</v>
      </c>
      <c r="E956" s="342">
        <f t="shared" si="49"/>
        <v>3.96</v>
      </c>
      <c r="F956" s="342"/>
      <c r="G956" s="336">
        <v>1179580.4969578851</v>
      </c>
      <c r="H956" s="336">
        <f t="shared" si="47"/>
        <v>4671138.7679532254</v>
      </c>
      <c r="I956" s="336">
        <f t="shared" si="48"/>
        <v>4671138.7679532254</v>
      </c>
      <c r="J956" s="336"/>
    </row>
    <row r="957" spans="1:10">
      <c r="A957" s="303">
        <v>196</v>
      </c>
      <c r="B957" s="309" t="s">
        <v>408</v>
      </c>
      <c r="C957" s="352" t="s">
        <v>106</v>
      </c>
      <c r="D957" s="355">
        <v>0.17599999999999999</v>
      </c>
      <c r="E957" s="342">
        <f t="shared" si="49"/>
        <v>0.17599999999999999</v>
      </c>
      <c r="F957" s="342"/>
      <c r="G957" s="336">
        <v>3027931.0010723178</v>
      </c>
      <c r="H957" s="336">
        <f t="shared" si="47"/>
        <v>532915.85618872789</v>
      </c>
      <c r="I957" s="336">
        <f t="shared" si="48"/>
        <v>532915.85618872789</v>
      </c>
      <c r="J957" s="336"/>
    </row>
    <row r="958" spans="1:10">
      <c r="A958" s="303">
        <v>197</v>
      </c>
      <c r="B958" s="309" t="s">
        <v>443</v>
      </c>
      <c r="C958" s="352" t="s">
        <v>67</v>
      </c>
      <c r="D958" s="355">
        <v>0.52500000000000002</v>
      </c>
      <c r="E958" s="342">
        <f t="shared" si="49"/>
        <v>0.52500000000000002</v>
      </c>
      <c r="F958" s="342"/>
      <c r="G958" s="336">
        <v>4424154.5971416747</v>
      </c>
      <c r="H958" s="336">
        <f t="shared" si="47"/>
        <v>2322681.1634993795</v>
      </c>
      <c r="I958" s="336">
        <f t="shared" si="48"/>
        <v>2322681.1634993795</v>
      </c>
      <c r="J958" s="336"/>
    </row>
    <row r="959" spans="1:10">
      <c r="A959" s="303">
        <v>198</v>
      </c>
      <c r="B959" s="309" t="s">
        <v>582</v>
      </c>
      <c r="C959" s="352" t="s">
        <v>67</v>
      </c>
      <c r="D959" s="355">
        <v>0.223</v>
      </c>
      <c r="E959" s="342">
        <f t="shared" si="49"/>
        <v>0.223</v>
      </c>
      <c r="F959" s="342"/>
      <c r="G959" s="336">
        <v>9177962.8499755561</v>
      </c>
      <c r="H959" s="336">
        <f t="shared" si="47"/>
        <v>2046685.715544549</v>
      </c>
      <c r="I959" s="336">
        <f t="shared" si="48"/>
        <v>2046685.715544549</v>
      </c>
      <c r="J959" s="336"/>
    </row>
    <row r="960" spans="1:10">
      <c r="A960" s="354"/>
      <c r="B960" s="316" t="s">
        <v>583</v>
      </c>
      <c r="C960" s="352"/>
      <c r="D960" s="355"/>
      <c r="E960" s="342">
        <f t="shared" si="49"/>
        <v>0</v>
      </c>
      <c r="F960" s="342"/>
      <c r="G960" s="336"/>
      <c r="H960" s="336">
        <f t="shared" si="47"/>
        <v>0</v>
      </c>
      <c r="I960" s="336">
        <f t="shared" si="48"/>
        <v>0</v>
      </c>
      <c r="J960" s="336"/>
    </row>
    <row r="961" spans="1:10">
      <c r="A961" s="354"/>
      <c r="B961" s="316" t="s">
        <v>584</v>
      </c>
      <c r="C961" s="352"/>
      <c r="D961" s="340"/>
      <c r="E961" s="342">
        <f t="shared" si="49"/>
        <v>0</v>
      </c>
      <c r="F961" s="342"/>
      <c r="G961" s="336"/>
      <c r="H961" s="336">
        <f t="shared" si="47"/>
        <v>0</v>
      </c>
      <c r="I961" s="336">
        <f t="shared" si="48"/>
        <v>0</v>
      </c>
      <c r="J961" s="336"/>
    </row>
    <row r="962" spans="1:10">
      <c r="A962" s="305">
        <v>199</v>
      </c>
      <c r="B962" s="366" t="s">
        <v>585</v>
      </c>
      <c r="C962" s="317" t="s">
        <v>335</v>
      </c>
      <c r="D962" s="365">
        <v>1</v>
      </c>
      <c r="E962" s="342">
        <f t="shared" si="49"/>
        <v>1</v>
      </c>
      <c r="F962" s="342"/>
      <c r="G962" s="336">
        <v>294224988.72432816</v>
      </c>
      <c r="H962" s="336">
        <f t="shared" si="47"/>
        <v>294224988.72432816</v>
      </c>
      <c r="I962" s="336">
        <f t="shared" si="48"/>
        <v>294224988.72432816</v>
      </c>
      <c r="J962" s="336"/>
    </row>
    <row r="963" spans="1:10">
      <c r="A963" s="305">
        <v>200</v>
      </c>
      <c r="B963" s="366" t="s">
        <v>338</v>
      </c>
      <c r="C963" s="317" t="s">
        <v>335</v>
      </c>
      <c r="D963" s="365">
        <v>1</v>
      </c>
      <c r="E963" s="342">
        <f t="shared" si="49"/>
        <v>1</v>
      </c>
      <c r="F963" s="342"/>
      <c r="G963" s="336">
        <v>138841373.40755224</v>
      </c>
      <c r="H963" s="336">
        <f t="shared" si="47"/>
        <v>138841373.40755224</v>
      </c>
      <c r="I963" s="336">
        <f t="shared" si="48"/>
        <v>138841373.40755224</v>
      </c>
      <c r="J963" s="336"/>
    </row>
    <row r="964" spans="1:10">
      <c r="A964" s="305">
        <v>201</v>
      </c>
      <c r="B964" s="366" t="s">
        <v>339</v>
      </c>
      <c r="C964" s="317" t="s">
        <v>335</v>
      </c>
      <c r="D964" s="365">
        <v>1</v>
      </c>
      <c r="E964" s="342">
        <f t="shared" si="49"/>
        <v>1</v>
      </c>
      <c r="F964" s="342"/>
      <c r="G964" s="336">
        <v>42920113.660825409</v>
      </c>
      <c r="H964" s="336">
        <f t="shared" si="47"/>
        <v>42920113.660825409</v>
      </c>
      <c r="I964" s="336">
        <f t="shared" si="48"/>
        <v>42920113.660825409</v>
      </c>
      <c r="J964" s="336"/>
    </row>
    <row r="965" spans="1:10">
      <c r="A965" s="305">
        <v>202</v>
      </c>
      <c r="B965" s="366" t="s">
        <v>336</v>
      </c>
      <c r="C965" s="317" t="s">
        <v>335</v>
      </c>
      <c r="D965" s="365">
        <v>1</v>
      </c>
      <c r="E965" s="342">
        <f t="shared" si="49"/>
        <v>1</v>
      </c>
      <c r="F965" s="342"/>
      <c r="G965" s="336">
        <v>11132218.726338301</v>
      </c>
      <c r="H965" s="336">
        <f t="shared" si="47"/>
        <v>11132218.726338301</v>
      </c>
      <c r="I965" s="336">
        <f t="shared" si="48"/>
        <v>11132218.726338301</v>
      </c>
      <c r="J965" s="336"/>
    </row>
    <row r="966" spans="1:10">
      <c r="A966" s="305">
        <v>203</v>
      </c>
      <c r="B966" s="366" t="s">
        <v>340</v>
      </c>
      <c r="C966" s="317" t="s">
        <v>335</v>
      </c>
      <c r="D966" s="365">
        <v>1</v>
      </c>
      <c r="E966" s="342">
        <f t="shared" si="49"/>
        <v>1</v>
      </c>
      <c r="F966" s="342"/>
      <c r="G966" s="336">
        <v>3786165.5895592449</v>
      </c>
      <c r="H966" s="336">
        <f t="shared" si="47"/>
        <v>3786165.5895592449</v>
      </c>
      <c r="I966" s="336">
        <f t="shared" si="48"/>
        <v>3786165.5895592449</v>
      </c>
      <c r="J966" s="336"/>
    </row>
    <row r="967" spans="1:10">
      <c r="A967" s="305">
        <v>204</v>
      </c>
      <c r="B967" s="366" t="s">
        <v>586</v>
      </c>
      <c r="C967" s="317" t="s">
        <v>335</v>
      </c>
      <c r="D967" s="365">
        <v>2</v>
      </c>
      <c r="E967" s="342">
        <f t="shared" si="49"/>
        <v>2</v>
      </c>
      <c r="F967" s="342"/>
      <c r="G967" s="336">
        <v>3669379.502345569</v>
      </c>
      <c r="H967" s="336">
        <f t="shared" si="47"/>
        <v>7338759.0046911379</v>
      </c>
      <c r="I967" s="336">
        <f t="shared" si="48"/>
        <v>7338759.0046911379</v>
      </c>
      <c r="J967" s="336"/>
    </row>
    <row r="968" spans="1:10">
      <c r="A968" s="305">
        <v>205</v>
      </c>
      <c r="B968" s="366" t="s">
        <v>587</v>
      </c>
      <c r="C968" s="317" t="s">
        <v>335</v>
      </c>
      <c r="D968" s="365">
        <v>1</v>
      </c>
      <c r="E968" s="342">
        <f t="shared" si="49"/>
        <v>1</v>
      </c>
      <c r="F968" s="342"/>
      <c r="G968" s="336">
        <v>7117370.6599739809</v>
      </c>
      <c r="H968" s="336">
        <f t="shared" si="47"/>
        <v>7117370.6599739809</v>
      </c>
      <c r="I968" s="336">
        <f t="shared" si="48"/>
        <v>7117370.6599739809</v>
      </c>
      <c r="J968" s="336"/>
    </row>
    <row r="969" spans="1:10">
      <c r="A969" s="305">
        <v>206</v>
      </c>
      <c r="B969" s="318" t="s">
        <v>588</v>
      </c>
      <c r="C969" s="317" t="s">
        <v>335</v>
      </c>
      <c r="D969" s="365">
        <v>1</v>
      </c>
      <c r="E969" s="342">
        <f t="shared" si="49"/>
        <v>1</v>
      </c>
      <c r="F969" s="342"/>
      <c r="G969" s="336">
        <v>52380585.805275187</v>
      </c>
      <c r="H969" s="336">
        <f t="shared" si="47"/>
        <v>52380585.805275187</v>
      </c>
      <c r="I969" s="336">
        <f t="shared" si="48"/>
        <v>52380585.805275187</v>
      </c>
      <c r="J969" s="336"/>
    </row>
    <row r="970" spans="1:10">
      <c r="A970" s="305">
        <v>207</v>
      </c>
      <c r="B970" s="318" t="s">
        <v>589</v>
      </c>
      <c r="C970" s="317" t="s">
        <v>335</v>
      </c>
      <c r="D970" s="365">
        <v>1</v>
      </c>
      <c r="E970" s="342">
        <f t="shared" si="49"/>
        <v>1</v>
      </c>
      <c r="F970" s="342"/>
      <c r="G970" s="336">
        <v>39429594.675962582</v>
      </c>
      <c r="H970" s="336">
        <f t="shared" si="47"/>
        <v>39429594.675962582</v>
      </c>
      <c r="I970" s="336">
        <f t="shared" si="48"/>
        <v>39429594.675962582</v>
      </c>
      <c r="J970" s="336"/>
    </row>
    <row r="971" spans="1:10">
      <c r="A971" s="305">
        <v>208</v>
      </c>
      <c r="B971" s="319" t="s">
        <v>590</v>
      </c>
      <c r="C971" s="320" t="s">
        <v>591</v>
      </c>
      <c r="D971" s="320">
        <v>1</v>
      </c>
      <c r="E971" s="342">
        <f t="shared" si="49"/>
        <v>1</v>
      </c>
      <c r="F971" s="342"/>
      <c r="G971" s="336">
        <v>2354762.4706340549</v>
      </c>
      <c r="H971" s="336">
        <f t="shared" si="47"/>
        <v>2354762.4706340549</v>
      </c>
      <c r="I971" s="336">
        <f t="shared" si="48"/>
        <v>2354762.4706340549</v>
      </c>
      <c r="J971" s="336"/>
    </row>
    <row r="972" spans="1:10">
      <c r="A972" s="354"/>
      <c r="B972" s="321" t="s">
        <v>592</v>
      </c>
      <c r="C972" s="352"/>
      <c r="D972" s="340"/>
      <c r="E972" s="342">
        <f t="shared" si="49"/>
        <v>0</v>
      </c>
      <c r="F972" s="342"/>
      <c r="G972" s="336"/>
      <c r="H972" s="336">
        <f t="shared" si="47"/>
        <v>0</v>
      </c>
      <c r="I972" s="336">
        <f t="shared" si="48"/>
        <v>0</v>
      </c>
      <c r="J972" s="336"/>
    </row>
    <row r="973" spans="1:10">
      <c r="A973" s="305">
        <v>209</v>
      </c>
      <c r="B973" s="367" t="s">
        <v>593</v>
      </c>
      <c r="C973" s="352"/>
      <c r="D973" s="340"/>
      <c r="E973" s="342">
        <f t="shared" si="49"/>
        <v>0</v>
      </c>
      <c r="F973" s="342"/>
      <c r="G973" s="336"/>
      <c r="H973" s="336">
        <f t="shared" si="47"/>
        <v>0</v>
      </c>
      <c r="I973" s="336">
        <f t="shared" si="48"/>
        <v>0</v>
      </c>
      <c r="J973" s="336"/>
    </row>
    <row r="974" spans="1:10">
      <c r="A974" s="305">
        <v>210</v>
      </c>
      <c r="B974" s="366" t="s">
        <v>585</v>
      </c>
      <c r="C974" s="317" t="s">
        <v>335</v>
      </c>
      <c r="D974" s="365">
        <v>1</v>
      </c>
      <c r="E974" s="342">
        <f t="shared" si="49"/>
        <v>1</v>
      </c>
      <c r="F974" s="342"/>
      <c r="G974" s="336">
        <v>17512641.58249826</v>
      </c>
      <c r="H974" s="336">
        <f t="shared" si="47"/>
        <v>17512641.58249826</v>
      </c>
      <c r="I974" s="336">
        <f t="shared" si="48"/>
        <v>17512641.58249826</v>
      </c>
      <c r="J974" s="336"/>
    </row>
    <row r="975" spans="1:10">
      <c r="A975" s="305">
        <v>211</v>
      </c>
      <c r="B975" s="366" t="s">
        <v>338</v>
      </c>
      <c r="C975" s="317" t="s">
        <v>335</v>
      </c>
      <c r="D975" s="365">
        <v>1</v>
      </c>
      <c r="E975" s="342">
        <f t="shared" si="49"/>
        <v>1</v>
      </c>
      <c r="F975" s="342"/>
      <c r="G975" s="336">
        <v>7955513.2089673672</v>
      </c>
      <c r="H975" s="336">
        <f t="shared" si="47"/>
        <v>7955513.2089673672</v>
      </c>
      <c r="I975" s="336">
        <f t="shared" si="48"/>
        <v>7955513.2089673672</v>
      </c>
      <c r="J975" s="336"/>
    </row>
    <row r="976" spans="1:10">
      <c r="A976" s="305">
        <v>212</v>
      </c>
      <c r="B976" s="366" t="s">
        <v>339</v>
      </c>
      <c r="C976" s="317" t="s">
        <v>335</v>
      </c>
      <c r="D976" s="365">
        <v>1</v>
      </c>
      <c r="E976" s="342">
        <f t="shared" si="49"/>
        <v>1</v>
      </c>
      <c r="F976" s="342"/>
      <c r="G976" s="336">
        <v>2529468.2648451915</v>
      </c>
      <c r="H976" s="336">
        <f t="shared" si="47"/>
        <v>2529468.2648451915</v>
      </c>
      <c r="I976" s="336">
        <f t="shared" si="48"/>
        <v>2529468.2648451915</v>
      </c>
      <c r="J976" s="336"/>
    </row>
    <row r="977" spans="1:10">
      <c r="A977" s="305">
        <v>213</v>
      </c>
      <c r="B977" s="366" t="s">
        <v>336</v>
      </c>
      <c r="C977" s="317" t="s">
        <v>335</v>
      </c>
      <c r="D977" s="365">
        <v>1</v>
      </c>
      <c r="E977" s="342">
        <f t="shared" si="49"/>
        <v>1</v>
      </c>
      <c r="F977" s="342"/>
      <c r="G977" s="336">
        <v>600187.10264758265</v>
      </c>
      <c r="H977" s="336">
        <f t="shared" si="47"/>
        <v>600187.10264758265</v>
      </c>
      <c r="I977" s="336">
        <f t="shared" si="48"/>
        <v>600187.10264758265</v>
      </c>
      <c r="J977" s="336"/>
    </row>
    <row r="978" spans="1:10">
      <c r="A978" s="305">
        <v>214</v>
      </c>
      <c r="B978" s="366" t="s">
        <v>340</v>
      </c>
      <c r="C978" s="317" t="s">
        <v>335</v>
      </c>
      <c r="D978" s="365">
        <v>1</v>
      </c>
      <c r="E978" s="342">
        <f t="shared" si="49"/>
        <v>1</v>
      </c>
      <c r="F978" s="342"/>
      <c r="G978" s="336">
        <v>175113.4134783535</v>
      </c>
      <c r="H978" s="336">
        <f t="shared" si="47"/>
        <v>175113.4134783535</v>
      </c>
      <c r="I978" s="336">
        <f t="shared" si="48"/>
        <v>175113.4134783535</v>
      </c>
      <c r="J978" s="336"/>
    </row>
    <row r="979" spans="1:10">
      <c r="A979" s="305">
        <v>215</v>
      </c>
      <c r="B979" s="366" t="s">
        <v>586</v>
      </c>
      <c r="C979" s="317" t="s">
        <v>335</v>
      </c>
      <c r="D979" s="365">
        <v>2</v>
      </c>
      <c r="E979" s="342">
        <f t="shared" si="49"/>
        <v>2</v>
      </c>
      <c r="F979" s="342"/>
      <c r="G979" s="336">
        <v>213818.82164059061</v>
      </c>
      <c r="H979" s="336">
        <f t="shared" si="47"/>
        <v>427637.64328118123</v>
      </c>
      <c r="I979" s="336">
        <f t="shared" si="48"/>
        <v>427637.64328118123</v>
      </c>
      <c r="J979" s="336"/>
    </row>
    <row r="980" spans="1:10">
      <c r="A980" s="305">
        <v>216</v>
      </c>
      <c r="B980" s="366" t="s">
        <v>587</v>
      </c>
      <c r="C980" s="317" t="s">
        <v>335</v>
      </c>
      <c r="D980" s="365">
        <v>1</v>
      </c>
      <c r="E980" s="342">
        <f t="shared" si="49"/>
        <v>1</v>
      </c>
      <c r="F980" s="342"/>
      <c r="G980" s="336">
        <v>422269.57619002345</v>
      </c>
      <c r="H980" s="336">
        <f t="shared" si="47"/>
        <v>422269.57619002345</v>
      </c>
      <c r="I980" s="336">
        <f t="shared" si="48"/>
        <v>422269.57619002345</v>
      </c>
      <c r="J980" s="336"/>
    </row>
    <row r="981" spans="1:10">
      <c r="A981" s="305">
        <v>217</v>
      </c>
      <c r="B981" s="366" t="s">
        <v>588</v>
      </c>
      <c r="C981" s="317" t="s">
        <v>335</v>
      </c>
      <c r="D981" s="365">
        <v>1</v>
      </c>
      <c r="E981" s="342">
        <f t="shared" si="49"/>
        <v>1</v>
      </c>
      <c r="F981" s="342"/>
      <c r="G981" s="336">
        <v>4728144.7400565194</v>
      </c>
      <c r="H981" s="336">
        <f t="shared" si="47"/>
        <v>4728144.7400565194</v>
      </c>
      <c r="I981" s="336">
        <f t="shared" si="48"/>
        <v>4728144.7400565194</v>
      </c>
      <c r="J981" s="336"/>
    </row>
    <row r="982" spans="1:10">
      <c r="A982" s="305">
        <v>218</v>
      </c>
      <c r="B982" s="366" t="s">
        <v>589</v>
      </c>
      <c r="C982" s="317" t="s">
        <v>335</v>
      </c>
      <c r="D982" s="365">
        <v>1</v>
      </c>
      <c r="E982" s="342">
        <f t="shared" si="49"/>
        <v>1</v>
      </c>
      <c r="F982" s="342"/>
      <c r="G982" s="336">
        <v>3608292.4694342008</v>
      </c>
      <c r="H982" s="336">
        <f t="shared" si="47"/>
        <v>3608292.4694342008</v>
      </c>
      <c r="I982" s="336">
        <f t="shared" si="48"/>
        <v>3608292.4694342008</v>
      </c>
      <c r="J982" s="336"/>
    </row>
    <row r="983" spans="1:10" ht="29.25" customHeight="1">
      <c r="A983" s="354"/>
      <c r="B983" s="364" t="s">
        <v>692</v>
      </c>
      <c r="C983" s="352"/>
      <c r="D983" s="340"/>
      <c r="E983" s="342">
        <f>D983*$E$7</f>
        <v>0</v>
      </c>
      <c r="F983" s="342">
        <f>D983*$F$7</f>
        <v>0</v>
      </c>
      <c r="G983" s="336"/>
      <c r="H983" s="338">
        <f>SUM(H984:H1026)</f>
        <v>689740782.6884315</v>
      </c>
      <c r="I983" s="338">
        <f>SUM(I984:I1026)</f>
        <v>689740782.6884315</v>
      </c>
      <c r="J983" s="336"/>
    </row>
    <row r="984" spans="1:10" ht="33">
      <c r="A984" s="305">
        <v>1</v>
      </c>
      <c r="B984" s="363" t="s">
        <v>333</v>
      </c>
      <c r="C984" s="317" t="s">
        <v>652</v>
      </c>
      <c r="D984" s="343">
        <v>400</v>
      </c>
      <c r="E984" s="342">
        <f t="shared" ref="E984:E1026" si="50">D984</f>
        <v>400</v>
      </c>
      <c r="F984" s="342"/>
      <c r="G984" s="336">
        <v>84124.477470219994</v>
      </c>
      <c r="H984" s="336">
        <f t="shared" ref="H984:H1026" si="51">D984*G984</f>
        <v>33649790.988087997</v>
      </c>
      <c r="I984" s="336">
        <f t="shared" ref="I984:I1026" si="52">E984*G984</f>
        <v>33649790.988087997</v>
      </c>
      <c r="J984" s="336"/>
    </row>
    <row r="985" spans="1:10" ht="33">
      <c r="A985" s="305">
        <v>2</v>
      </c>
      <c r="B985" s="347" t="s">
        <v>682</v>
      </c>
      <c r="C985" s="317" t="s">
        <v>648</v>
      </c>
      <c r="D985" s="343">
        <v>15</v>
      </c>
      <c r="E985" s="342">
        <f t="shared" si="50"/>
        <v>15</v>
      </c>
      <c r="F985" s="342"/>
      <c r="G985" s="336">
        <v>1474672.57311935</v>
      </c>
      <c r="H985" s="336">
        <f t="shared" si="51"/>
        <v>22120088.59679025</v>
      </c>
      <c r="I985" s="336">
        <f t="shared" si="52"/>
        <v>22120088.59679025</v>
      </c>
      <c r="J985" s="336"/>
    </row>
    <row r="986" spans="1:10" ht="33">
      <c r="A986" s="305">
        <v>3</v>
      </c>
      <c r="B986" s="347" t="s">
        <v>685</v>
      </c>
      <c r="C986" s="317" t="s">
        <v>648</v>
      </c>
      <c r="D986" s="343">
        <v>6.4</v>
      </c>
      <c r="E986" s="342">
        <f t="shared" si="50"/>
        <v>6.4</v>
      </c>
      <c r="F986" s="342"/>
      <c r="G986" s="336">
        <v>899905.11765252997</v>
      </c>
      <c r="H986" s="336">
        <f t="shared" si="51"/>
        <v>5759392.7529761922</v>
      </c>
      <c r="I986" s="336">
        <f t="shared" si="52"/>
        <v>5759392.7529761922</v>
      </c>
      <c r="J986" s="336"/>
    </row>
    <row r="987" spans="1:10" ht="33">
      <c r="A987" s="305">
        <v>4</v>
      </c>
      <c r="B987" s="362" t="s">
        <v>674</v>
      </c>
      <c r="C987" s="317" t="s">
        <v>673</v>
      </c>
      <c r="D987" s="343">
        <v>46.628999999999998</v>
      </c>
      <c r="E987" s="342">
        <f t="shared" si="50"/>
        <v>46.628999999999998</v>
      </c>
      <c r="F987" s="342"/>
      <c r="G987" s="336">
        <v>1529682.3735028584</v>
      </c>
      <c r="H987" s="336">
        <f t="shared" si="51"/>
        <v>71327559.394064784</v>
      </c>
      <c r="I987" s="336">
        <f t="shared" si="52"/>
        <v>71327559.394064784</v>
      </c>
      <c r="J987" s="336"/>
    </row>
    <row r="988" spans="1:10">
      <c r="A988" s="305">
        <v>5</v>
      </c>
      <c r="B988" s="357" t="s">
        <v>681</v>
      </c>
      <c r="C988" s="317" t="s">
        <v>332</v>
      </c>
      <c r="D988" s="343">
        <v>2.5000000000000001E-2</v>
      </c>
      <c r="E988" s="342">
        <f t="shared" si="50"/>
        <v>2.5000000000000001E-2</v>
      </c>
      <c r="F988" s="342"/>
      <c r="G988" s="336">
        <v>21494655.677628208</v>
      </c>
      <c r="H988" s="336">
        <f t="shared" si="51"/>
        <v>537366.39194070525</v>
      </c>
      <c r="I988" s="336">
        <f t="shared" si="52"/>
        <v>537366.39194070525</v>
      </c>
      <c r="J988" s="336"/>
    </row>
    <row r="989" spans="1:10">
      <c r="A989" s="305">
        <v>6</v>
      </c>
      <c r="B989" s="357" t="s">
        <v>680</v>
      </c>
      <c r="C989" s="317" t="s">
        <v>652</v>
      </c>
      <c r="D989" s="343">
        <v>1.4019999999999999</v>
      </c>
      <c r="E989" s="342">
        <f t="shared" si="50"/>
        <v>1.4019999999999999</v>
      </c>
      <c r="F989" s="342"/>
      <c r="G989" s="336">
        <v>624240.56158024003</v>
      </c>
      <c r="H989" s="336">
        <f t="shared" si="51"/>
        <v>875185.26733549649</v>
      </c>
      <c r="I989" s="336">
        <f t="shared" si="52"/>
        <v>875185.26733549649</v>
      </c>
      <c r="J989" s="336"/>
    </row>
    <row r="990" spans="1:10">
      <c r="A990" s="305">
        <v>7</v>
      </c>
      <c r="B990" s="357" t="s">
        <v>679</v>
      </c>
      <c r="C990" s="317" t="s">
        <v>334</v>
      </c>
      <c r="D990" s="343">
        <v>0.73399999999999999</v>
      </c>
      <c r="E990" s="342">
        <f t="shared" si="50"/>
        <v>0.73399999999999999</v>
      </c>
      <c r="F990" s="342"/>
      <c r="G990" s="336">
        <v>860812.82264923002</v>
      </c>
      <c r="H990" s="336">
        <f t="shared" si="51"/>
        <v>631836.61182453483</v>
      </c>
      <c r="I990" s="336">
        <f t="shared" si="52"/>
        <v>631836.61182453483</v>
      </c>
      <c r="J990" s="336"/>
    </row>
    <row r="991" spans="1:10">
      <c r="A991" s="305">
        <v>8</v>
      </c>
      <c r="B991" s="357" t="s">
        <v>678</v>
      </c>
      <c r="C991" s="317" t="s">
        <v>673</v>
      </c>
      <c r="D991" s="343">
        <v>46.628999999999998</v>
      </c>
      <c r="E991" s="342">
        <f t="shared" si="50"/>
        <v>46.628999999999998</v>
      </c>
      <c r="F991" s="342"/>
      <c r="G991" s="336">
        <v>349025.21381664078</v>
      </c>
      <c r="H991" s="336">
        <f t="shared" si="51"/>
        <v>16274696.695056142</v>
      </c>
      <c r="I991" s="336">
        <f t="shared" si="52"/>
        <v>16274696.695056142</v>
      </c>
      <c r="J991" s="336"/>
    </row>
    <row r="992" spans="1:10">
      <c r="A992" s="305">
        <v>9</v>
      </c>
      <c r="B992" s="357" t="s">
        <v>677</v>
      </c>
      <c r="C992" s="317" t="s">
        <v>334</v>
      </c>
      <c r="D992" s="343">
        <v>0.73399999999999999</v>
      </c>
      <c r="E992" s="342">
        <f t="shared" si="50"/>
        <v>0.73399999999999999</v>
      </c>
      <c r="F992" s="342"/>
      <c r="G992" s="336">
        <v>860812.82264923002</v>
      </c>
      <c r="H992" s="336">
        <f t="shared" si="51"/>
        <v>631836.61182453483</v>
      </c>
      <c r="I992" s="336">
        <f t="shared" si="52"/>
        <v>631836.61182453483</v>
      </c>
      <c r="J992" s="336"/>
    </row>
    <row r="993" spans="1:10" ht="33">
      <c r="A993" s="305">
        <v>10</v>
      </c>
      <c r="B993" s="361" t="s">
        <v>676</v>
      </c>
      <c r="C993" s="317" t="s">
        <v>334</v>
      </c>
      <c r="D993" s="343">
        <v>2.6459999999999999</v>
      </c>
      <c r="E993" s="342">
        <f t="shared" si="50"/>
        <v>2.6459999999999999</v>
      </c>
      <c r="F993" s="342"/>
      <c r="G993" s="336">
        <v>860812.82264923002</v>
      </c>
      <c r="H993" s="336">
        <f t="shared" si="51"/>
        <v>2277710.7287298627</v>
      </c>
      <c r="I993" s="336">
        <f t="shared" si="52"/>
        <v>2277710.7287298627</v>
      </c>
      <c r="J993" s="336"/>
    </row>
    <row r="994" spans="1:10">
      <c r="A994" s="305">
        <v>11</v>
      </c>
      <c r="B994" s="360" t="s">
        <v>691</v>
      </c>
      <c r="C994" s="317" t="s">
        <v>334</v>
      </c>
      <c r="D994" s="355">
        <v>0.81100000000000005</v>
      </c>
      <c r="E994" s="342">
        <f t="shared" si="50"/>
        <v>0.81100000000000005</v>
      </c>
      <c r="F994" s="342"/>
      <c r="G994" s="336">
        <v>2826999.5248147398</v>
      </c>
      <c r="H994" s="336">
        <f t="shared" si="51"/>
        <v>2292696.6146247541</v>
      </c>
      <c r="I994" s="336">
        <f t="shared" si="52"/>
        <v>2292696.6146247541</v>
      </c>
      <c r="J994" s="336"/>
    </row>
    <row r="995" spans="1:10" ht="33">
      <c r="A995" s="305">
        <v>12</v>
      </c>
      <c r="B995" s="357" t="s">
        <v>674</v>
      </c>
      <c r="C995" s="356" t="s">
        <v>673</v>
      </c>
      <c r="D995" s="355">
        <v>119.907</v>
      </c>
      <c r="E995" s="342">
        <f t="shared" si="50"/>
        <v>119.907</v>
      </c>
      <c r="F995" s="342"/>
      <c r="G995" s="336">
        <v>1529682.3735028584</v>
      </c>
      <c r="H995" s="336">
        <f t="shared" si="51"/>
        <v>183419624.35960725</v>
      </c>
      <c r="I995" s="336">
        <f t="shared" si="52"/>
        <v>183419624.35960725</v>
      </c>
      <c r="J995" s="336"/>
    </row>
    <row r="996" spans="1:10">
      <c r="A996" s="305">
        <v>13</v>
      </c>
      <c r="B996" s="357" t="s">
        <v>672</v>
      </c>
      <c r="C996" s="356" t="s">
        <v>648</v>
      </c>
      <c r="D996" s="355">
        <v>3.1019999999999999</v>
      </c>
      <c r="E996" s="342">
        <f t="shared" si="50"/>
        <v>3.1019999999999999</v>
      </c>
      <c r="F996" s="342"/>
      <c r="G996" s="336">
        <v>264716.76676511002</v>
      </c>
      <c r="H996" s="336">
        <f t="shared" si="51"/>
        <v>821151.41050537128</v>
      </c>
      <c r="I996" s="336">
        <f t="shared" si="52"/>
        <v>821151.41050537128</v>
      </c>
      <c r="J996" s="336"/>
    </row>
    <row r="997" spans="1:10" ht="33">
      <c r="A997" s="305">
        <v>14</v>
      </c>
      <c r="B997" s="347" t="s">
        <v>671</v>
      </c>
      <c r="C997" s="356" t="s">
        <v>648</v>
      </c>
      <c r="D997" s="355">
        <v>3.1019999999999999</v>
      </c>
      <c r="E997" s="342">
        <f t="shared" si="50"/>
        <v>3.1019999999999999</v>
      </c>
      <c r="F997" s="342"/>
      <c r="G997" s="336">
        <v>1740640.09865394</v>
      </c>
      <c r="H997" s="336">
        <f t="shared" si="51"/>
        <v>5399465.5860245219</v>
      </c>
      <c r="I997" s="336">
        <f t="shared" si="52"/>
        <v>5399465.5860245219</v>
      </c>
      <c r="J997" s="336"/>
    </row>
    <row r="998" spans="1:10">
      <c r="A998" s="305">
        <v>15</v>
      </c>
      <c r="B998" s="357" t="s">
        <v>670</v>
      </c>
      <c r="C998" s="356" t="s">
        <v>648</v>
      </c>
      <c r="D998" s="355">
        <v>30.855</v>
      </c>
      <c r="E998" s="342">
        <f t="shared" si="50"/>
        <v>30.855</v>
      </c>
      <c r="F998" s="342"/>
      <c r="G998" s="336">
        <v>1822204.6573975198</v>
      </c>
      <c r="H998" s="336">
        <f t="shared" si="51"/>
        <v>56224124.704000473</v>
      </c>
      <c r="I998" s="336">
        <f t="shared" si="52"/>
        <v>56224124.704000473</v>
      </c>
      <c r="J998" s="336"/>
    </row>
    <row r="999" spans="1:10" ht="33">
      <c r="A999" s="305">
        <v>16</v>
      </c>
      <c r="B999" s="357" t="s">
        <v>669</v>
      </c>
      <c r="C999" s="356" t="s">
        <v>652</v>
      </c>
      <c r="D999" s="355">
        <v>0.314</v>
      </c>
      <c r="E999" s="342">
        <f t="shared" si="50"/>
        <v>0.314</v>
      </c>
      <c r="F999" s="342"/>
      <c r="G999" s="336">
        <v>15106692.40168187</v>
      </c>
      <c r="H999" s="336">
        <f t="shared" si="51"/>
        <v>4743501.414128107</v>
      </c>
      <c r="I999" s="336">
        <f t="shared" si="52"/>
        <v>4743501.414128107</v>
      </c>
      <c r="J999" s="336"/>
    </row>
    <row r="1000" spans="1:10" ht="33">
      <c r="A1000" s="305">
        <v>17</v>
      </c>
      <c r="B1000" s="357" t="s">
        <v>668</v>
      </c>
      <c r="C1000" s="356" t="s">
        <v>332</v>
      </c>
      <c r="D1000" s="355">
        <v>0.95599999999999996</v>
      </c>
      <c r="E1000" s="342">
        <f t="shared" si="50"/>
        <v>0.95599999999999996</v>
      </c>
      <c r="F1000" s="342"/>
      <c r="G1000" s="336">
        <v>21747384.383930594</v>
      </c>
      <c r="H1000" s="336">
        <f t="shared" si="51"/>
        <v>20790499.471037649</v>
      </c>
      <c r="I1000" s="336">
        <f t="shared" si="52"/>
        <v>20790499.471037649</v>
      </c>
      <c r="J1000" s="336"/>
    </row>
    <row r="1001" spans="1:10" ht="33">
      <c r="A1001" s="305">
        <v>18</v>
      </c>
      <c r="B1001" s="357" t="s">
        <v>667</v>
      </c>
      <c r="C1001" s="356" t="s">
        <v>648</v>
      </c>
      <c r="D1001" s="355">
        <v>4.5750000000000002</v>
      </c>
      <c r="E1001" s="342">
        <f t="shared" si="50"/>
        <v>4.5750000000000002</v>
      </c>
      <c r="F1001" s="342"/>
      <c r="G1001" s="336">
        <v>2832559.8045584401</v>
      </c>
      <c r="H1001" s="336">
        <f t="shared" si="51"/>
        <v>12958961.105854863</v>
      </c>
      <c r="I1001" s="336">
        <f t="shared" si="52"/>
        <v>12958961.105854863</v>
      </c>
      <c r="J1001" s="336"/>
    </row>
    <row r="1002" spans="1:10">
      <c r="A1002" s="305">
        <v>19</v>
      </c>
      <c r="B1002" s="357" t="s">
        <v>666</v>
      </c>
      <c r="C1002" s="356" t="s">
        <v>652</v>
      </c>
      <c r="D1002" s="355">
        <v>0.375</v>
      </c>
      <c r="E1002" s="342">
        <f t="shared" si="50"/>
        <v>0.375</v>
      </c>
      <c r="F1002" s="342"/>
      <c r="G1002" s="336">
        <v>10285864.162557829</v>
      </c>
      <c r="H1002" s="336">
        <f t="shared" si="51"/>
        <v>3857199.0609591859</v>
      </c>
      <c r="I1002" s="336">
        <f t="shared" si="52"/>
        <v>3857199.0609591859</v>
      </c>
      <c r="J1002" s="336"/>
    </row>
    <row r="1003" spans="1:10" ht="33">
      <c r="A1003" s="305">
        <v>20</v>
      </c>
      <c r="B1003" s="357" t="s">
        <v>665</v>
      </c>
      <c r="C1003" s="356" t="s">
        <v>332</v>
      </c>
      <c r="D1003" s="355">
        <v>0.54100000000000004</v>
      </c>
      <c r="E1003" s="342">
        <f t="shared" si="50"/>
        <v>0.54100000000000004</v>
      </c>
      <c r="F1003" s="342"/>
      <c r="G1003" s="336">
        <v>22364722.655141901</v>
      </c>
      <c r="H1003" s="336">
        <f t="shared" si="51"/>
        <v>12099314.956431769</v>
      </c>
      <c r="I1003" s="336">
        <f t="shared" si="52"/>
        <v>12099314.956431769</v>
      </c>
      <c r="J1003" s="336"/>
    </row>
    <row r="1004" spans="1:10">
      <c r="A1004" s="305">
        <v>21</v>
      </c>
      <c r="B1004" s="345" t="s">
        <v>664</v>
      </c>
      <c r="C1004" s="356" t="s">
        <v>648</v>
      </c>
      <c r="D1004" s="355">
        <v>2.504</v>
      </c>
      <c r="E1004" s="342">
        <f t="shared" si="50"/>
        <v>2.504</v>
      </c>
      <c r="F1004" s="342"/>
      <c r="G1004" s="336">
        <v>2103564.5459600198</v>
      </c>
      <c r="H1004" s="336">
        <f t="shared" si="51"/>
        <v>5267325.6230838895</v>
      </c>
      <c r="I1004" s="336">
        <f t="shared" si="52"/>
        <v>5267325.6230838895</v>
      </c>
      <c r="J1004" s="336"/>
    </row>
    <row r="1005" spans="1:10" ht="33">
      <c r="A1005" s="305">
        <v>22</v>
      </c>
      <c r="B1005" s="357" t="s">
        <v>663</v>
      </c>
      <c r="C1005" s="356" t="s">
        <v>106</v>
      </c>
      <c r="D1005" s="355">
        <v>9.2999999999999999E-2</v>
      </c>
      <c r="E1005" s="342">
        <f t="shared" si="50"/>
        <v>9.2999999999999999E-2</v>
      </c>
      <c r="F1005" s="342"/>
      <c r="G1005" s="336">
        <v>26779944.912297059</v>
      </c>
      <c r="H1005" s="336">
        <f t="shared" si="51"/>
        <v>2490534.8768436266</v>
      </c>
      <c r="I1005" s="336">
        <f t="shared" si="52"/>
        <v>2490534.8768436266</v>
      </c>
      <c r="J1005" s="336"/>
    </row>
    <row r="1006" spans="1:10" ht="33">
      <c r="A1006" s="305">
        <v>23</v>
      </c>
      <c r="B1006" s="357" t="s">
        <v>690</v>
      </c>
      <c r="C1006" s="343" t="s">
        <v>596</v>
      </c>
      <c r="D1006" s="355">
        <v>9</v>
      </c>
      <c r="E1006" s="342">
        <f t="shared" si="50"/>
        <v>9</v>
      </c>
      <c r="F1006" s="342"/>
      <c r="G1006" s="336">
        <v>11259006.802943902</v>
      </c>
      <c r="H1006" s="336">
        <f t="shared" si="51"/>
        <v>101331061.22649512</v>
      </c>
      <c r="I1006" s="336">
        <f t="shared" si="52"/>
        <v>101331061.22649512</v>
      </c>
      <c r="J1006" s="336"/>
    </row>
    <row r="1007" spans="1:10" ht="33">
      <c r="A1007" s="305">
        <v>24</v>
      </c>
      <c r="B1007" s="357" t="s">
        <v>689</v>
      </c>
      <c r="C1007" s="356" t="s">
        <v>660</v>
      </c>
      <c r="D1007" s="355">
        <v>8</v>
      </c>
      <c r="E1007" s="342">
        <f t="shared" si="50"/>
        <v>8</v>
      </c>
      <c r="F1007" s="342"/>
      <c r="G1007" s="336">
        <v>210775.96979417</v>
      </c>
      <c r="H1007" s="336">
        <f t="shared" si="51"/>
        <v>1686207.75835336</v>
      </c>
      <c r="I1007" s="336">
        <f t="shared" si="52"/>
        <v>1686207.75835336</v>
      </c>
      <c r="J1007" s="336"/>
    </row>
    <row r="1008" spans="1:10">
      <c r="A1008" s="305">
        <v>25</v>
      </c>
      <c r="B1008" s="357" t="s">
        <v>659</v>
      </c>
      <c r="C1008" s="356" t="s">
        <v>652</v>
      </c>
      <c r="D1008" s="355">
        <v>1.4630000000000001</v>
      </c>
      <c r="E1008" s="342">
        <f t="shared" si="50"/>
        <v>1.4630000000000001</v>
      </c>
      <c r="F1008" s="342"/>
      <c r="G1008" s="336">
        <v>3378321.3368108603</v>
      </c>
      <c r="H1008" s="336">
        <f t="shared" si="51"/>
        <v>4942484.1157542886</v>
      </c>
      <c r="I1008" s="336">
        <f t="shared" si="52"/>
        <v>4942484.1157542886</v>
      </c>
      <c r="J1008" s="336"/>
    </row>
    <row r="1009" spans="1:10">
      <c r="A1009" s="305">
        <v>26</v>
      </c>
      <c r="B1009" s="357" t="s">
        <v>658</v>
      </c>
      <c r="C1009" s="356" t="s">
        <v>657</v>
      </c>
      <c r="D1009" s="355">
        <v>73.040000000000006</v>
      </c>
      <c r="E1009" s="342">
        <f t="shared" si="50"/>
        <v>73.040000000000006</v>
      </c>
      <c r="F1009" s="342"/>
      <c r="G1009" s="336">
        <v>1359342.3943654499</v>
      </c>
      <c r="H1009" s="336">
        <f t="shared" si="51"/>
        <v>99286368.484452471</v>
      </c>
      <c r="I1009" s="336">
        <f t="shared" si="52"/>
        <v>99286368.484452471</v>
      </c>
      <c r="J1009" s="336"/>
    </row>
    <row r="1010" spans="1:10">
      <c r="A1010" s="305">
        <v>27</v>
      </c>
      <c r="B1010" s="345" t="s">
        <v>656</v>
      </c>
      <c r="C1010" s="359" t="s">
        <v>30</v>
      </c>
      <c r="D1010" s="355">
        <v>0.28799999999999998</v>
      </c>
      <c r="E1010" s="342">
        <f t="shared" si="50"/>
        <v>0.28799999999999998</v>
      </c>
      <c r="F1010" s="342"/>
      <c r="G1010" s="336">
        <v>548952.91382084996</v>
      </c>
      <c r="H1010" s="336">
        <f t="shared" si="51"/>
        <v>158098.43918040479</v>
      </c>
      <c r="I1010" s="336">
        <f t="shared" si="52"/>
        <v>158098.43918040479</v>
      </c>
      <c r="J1010" s="336"/>
    </row>
    <row r="1011" spans="1:10">
      <c r="A1011" s="305">
        <v>28</v>
      </c>
      <c r="B1011" s="357" t="s">
        <v>655</v>
      </c>
      <c r="C1011" s="356" t="s">
        <v>341</v>
      </c>
      <c r="D1011" s="355">
        <v>30</v>
      </c>
      <c r="E1011" s="342">
        <f t="shared" si="50"/>
        <v>30</v>
      </c>
      <c r="F1011" s="342"/>
      <c r="G1011" s="336">
        <v>101435.5628517</v>
      </c>
      <c r="H1011" s="336">
        <f t="shared" si="51"/>
        <v>3043066.885551</v>
      </c>
      <c r="I1011" s="336">
        <f t="shared" si="52"/>
        <v>3043066.885551</v>
      </c>
      <c r="J1011" s="336"/>
    </row>
    <row r="1012" spans="1:10" ht="33">
      <c r="A1012" s="305">
        <v>29</v>
      </c>
      <c r="B1012" s="357" t="s">
        <v>654</v>
      </c>
      <c r="C1012" s="356" t="s">
        <v>648</v>
      </c>
      <c r="D1012" s="355">
        <v>0.3</v>
      </c>
      <c r="E1012" s="342">
        <f t="shared" si="50"/>
        <v>0.3</v>
      </c>
      <c r="F1012" s="342"/>
      <c r="G1012" s="336">
        <v>2679391.7396449498</v>
      </c>
      <c r="H1012" s="336">
        <f t="shared" si="51"/>
        <v>803817.52189348487</v>
      </c>
      <c r="I1012" s="336">
        <f t="shared" si="52"/>
        <v>803817.52189348487</v>
      </c>
      <c r="J1012" s="336"/>
    </row>
    <row r="1013" spans="1:10" ht="49.5">
      <c r="A1013" s="305">
        <v>30</v>
      </c>
      <c r="B1013" s="347" t="s">
        <v>653</v>
      </c>
      <c r="C1013" s="358" t="s">
        <v>652</v>
      </c>
      <c r="D1013" s="355">
        <v>5.3999999999999999E-2</v>
      </c>
      <c r="E1013" s="342">
        <f t="shared" si="50"/>
        <v>5.3999999999999999E-2</v>
      </c>
      <c r="F1013" s="342"/>
      <c r="G1013" s="336">
        <v>16838348.450964369</v>
      </c>
      <c r="H1013" s="336">
        <f t="shared" si="51"/>
        <v>909270.8163520759</v>
      </c>
      <c r="I1013" s="336">
        <f t="shared" si="52"/>
        <v>909270.8163520759</v>
      </c>
      <c r="J1013" s="336"/>
    </row>
    <row r="1014" spans="1:10" ht="33">
      <c r="A1014" s="305">
        <v>31</v>
      </c>
      <c r="B1014" s="357" t="s">
        <v>651</v>
      </c>
      <c r="C1014" s="356" t="s">
        <v>332</v>
      </c>
      <c r="D1014" s="355">
        <v>0.01</v>
      </c>
      <c r="E1014" s="342">
        <f t="shared" si="50"/>
        <v>0.01</v>
      </c>
      <c r="F1014" s="342"/>
      <c r="G1014" s="336">
        <v>22271236.953963142</v>
      </c>
      <c r="H1014" s="336">
        <f t="shared" si="51"/>
        <v>222712.36953963141</v>
      </c>
      <c r="I1014" s="336">
        <f t="shared" si="52"/>
        <v>222712.36953963141</v>
      </c>
      <c r="J1014" s="336"/>
    </row>
    <row r="1015" spans="1:10" ht="33">
      <c r="A1015" s="305">
        <v>32</v>
      </c>
      <c r="B1015" s="357" t="s">
        <v>650</v>
      </c>
      <c r="C1015" s="356" t="s">
        <v>332</v>
      </c>
      <c r="D1015" s="355">
        <v>2.8000000000000001E-2</v>
      </c>
      <c r="E1015" s="342">
        <f t="shared" si="50"/>
        <v>2.8000000000000001E-2</v>
      </c>
      <c r="F1015" s="342"/>
      <c r="G1015" s="336">
        <v>22143203.30019743</v>
      </c>
      <c r="H1015" s="336">
        <f t="shared" si="51"/>
        <v>620009.69240552804</v>
      </c>
      <c r="I1015" s="336">
        <f t="shared" si="52"/>
        <v>620009.69240552804</v>
      </c>
      <c r="J1015" s="336"/>
    </row>
    <row r="1016" spans="1:10">
      <c r="A1016" s="305">
        <v>33</v>
      </c>
      <c r="B1016" s="357" t="s">
        <v>649</v>
      </c>
      <c r="C1016" s="356" t="s">
        <v>648</v>
      </c>
      <c r="D1016" s="355">
        <v>0.114</v>
      </c>
      <c r="E1016" s="342">
        <f t="shared" si="50"/>
        <v>0.114</v>
      </c>
      <c r="F1016" s="342"/>
      <c r="G1016" s="336">
        <v>30749640.32562983</v>
      </c>
      <c r="H1016" s="336">
        <f t="shared" si="51"/>
        <v>3505458.9971218007</v>
      </c>
      <c r="I1016" s="336">
        <f t="shared" si="52"/>
        <v>3505458.9971218007</v>
      </c>
      <c r="J1016" s="336"/>
    </row>
    <row r="1017" spans="1:10">
      <c r="A1017" s="305">
        <v>34</v>
      </c>
      <c r="B1017" s="357" t="s">
        <v>647</v>
      </c>
      <c r="C1017" s="356" t="s">
        <v>332</v>
      </c>
      <c r="D1017" s="355">
        <v>0.126</v>
      </c>
      <c r="E1017" s="342">
        <f t="shared" si="50"/>
        <v>0.126</v>
      </c>
      <c r="F1017" s="342"/>
      <c r="G1017" s="336">
        <v>30500718.64674934</v>
      </c>
      <c r="H1017" s="336">
        <f t="shared" si="51"/>
        <v>3843090.5494904169</v>
      </c>
      <c r="I1017" s="336">
        <f t="shared" si="52"/>
        <v>3843090.5494904169</v>
      </c>
      <c r="J1017" s="336"/>
    </row>
    <row r="1018" spans="1:10">
      <c r="A1018" s="305">
        <v>35</v>
      </c>
      <c r="B1018" s="357" t="s">
        <v>290</v>
      </c>
      <c r="C1018" s="356" t="s">
        <v>332</v>
      </c>
      <c r="D1018" s="355">
        <v>0.10199999999999999</v>
      </c>
      <c r="E1018" s="342">
        <f t="shared" si="50"/>
        <v>0.10199999999999999</v>
      </c>
      <c r="F1018" s="342"/>
      <c r="G1018" s="336">
        <v>19600014.080444928</v>
      </c>
      <c r="H1018" s="336">
        <f t="shared" si="51"/>
        <v>1999201.4362053825</v>
      </c>
      <c r="I1018" s="336">
        <f t="shared" si="52"/>
        <v>1999201.4362053825</v>
      </c>
      <c r="J1018" s="336"/>
    </row>
    <row r="1019" spans="1:10">
      <c r="A1019" s="305">
        <v>36</v>
      </c>
      <c r="B1019" s="357" t="s">
        <v>272</v>
      </c>
      <c r="C1019" s="356" t="s">
        <v>332</v>
      </c>
      <c r="D1019" s="355">
        <v>0.01</v>
      </c>
      <c r="E1019" s="342">
        <f t="shared" si="50"/>
        <v>0.01</v>
      </c>
      <c r="F1019" s="342"/>
      <c r="G1019" s="336">
        <v>19503911.276043262</v>
      </c>
      <c r="H1019" s="336">
        <f t="shared" si="51"/>
        <v>195039.11276043262</v>
      </c>
      <c r="I1019" s="336">
        <f t="shared" si="52"/>
        <v>195039.11276043262</v>
      </c>
      <c r="J1019" s="336"/>
    </row>
    <row r="1020" spans="1:10">
      <c r="A1020" s="305">
        <v>37</v>
      </c>
      <c r="B1020" s="357" t="s">
        <v>646</v>
      </c>
      <c r="C1020" s="356" t="s">
        <v>332</v>
      </c>
      <c r="D1020" s="355">
        <v>1.4E-2</v>
      </c>
      <c r="E1020" s="342">
        <f t="shared" si="50"/>
        <v>1.4E-2</v>
      </c>
      <c r="F1020" s="342"/>
      <c r="G1020" s="336">
        <v>82771864.596043259</v>
      </c>
      <c r="H1020" s="336">
        <f t="shared" si="51"/>
        <v>1158806.1043446057</v>
      </c>
      <c r="I1020" s="336">
        <f t="shared" si="52"/>
        <v>1158806.1043446057</v>
      </c>
      <c r="J1020" s="336"/>
    </row>
    <row r="1021" spans="1:10">
      <c r="A1021" s="305">
        <v>38</v>
      </c>
      <c r="B1021" s="357" t="s">
        <v>645</v>
      </c>
      <c r="C1021" s="356" t="s">
        <v>90</v>
      </c>
      <c r="D1021" s="355">
        <v>2.6</v>
      </c>
      <c r="E1021" s="342">
        <f t="shared" si="50"/>
        <v>2.6</v>
      </c>
      <c r="F1021" s="342"/>
      <c r="G1021" s="336">
        <v>83019.721669940016</v>
      </c>
      <c r="H1021" s="336">
        <f t="shared" si="51"/>
        <v>215851.27634184406</v>
      </c>
      <c r="I1021" s="336">
        <f t="shared" si="52"/>
        <v>215851.27634184406</v>
      </c>
      <c r="J1021" s="336"/>
    </row>
    <row r="1022" spans="1:10">
      <c r="A1022" s="305">
        <v>39</v>
      </c>
      <c r="B1022" s="357" t="s">
        <v>644</v>
      </c>
      <c r="C1022" s="356" t="s">
        <v>341</v>
      </c>
      <c r="D1022" s="355">
        <v>65</v>
      </c>
      <c r="E1022" s="342">
        <f t="shared" si="50"/>
        <v>65</v>
      </c>
      <c r="F1022" s="342"/>
      <c r="G1022" s="336">
        <v>5492.1450247399998</v>
      </c>
      <c r="H1022" s="336">
        <f t="shared" si="51"/>
        <v>356989.42660810001</v>
      </c>
      <c r="I1022" s="336">
        <f t="shared" si="52"/>
        <v>356989.42660810001</v>
      </c>
      <c r="J1022" s="336"/>
    </row>
    <row r="1023" spans="1:10">
      <c r="A1023" s="305">
        <v>40</v>
      </c>
      <c r="B1023" s="357" t="s">
        <v>643</v>
      </c>
      <c r="C1023" s="356" t="s">
        <v>341</v>
      </c>
      <c r="D1023" s="355">
        <v>8</v>
      </c>
      <c r="E1023" s="342">
        <f t="shared" si="50"/>
        <v>8</v>
      </c>
      <c r="F1023" s="342"/>
      <c r="G1023" s="336">
        <v>9762.731873839999</v>
      </c>
      <c r="H1023" s="336">
        <f t="shared" si="51"/>
        <v>78101.854990719992</v>
      </c>
      <c r="I1023" s="336">
        <f t="shared" si="52"/>
        <v>78101.854990719992</v>
      </c>
      <c r="J1023" s="336"/>
    </row>
    <row r="1024" spans="1:10" ht="33">
      <c r="A1024" s="305">
        <v>41</v>
      </c>
      <c r="B1024" s="357" t="s">
        <v>642</v>
      </c>
      <c r="C1024" s="356" t="s">
        <v>332</v>
      </c>
      <c r="D1024" s="355">
        <v>0.126</v>
      </c>
      <c r="E1024" s="342">
        <f t="shared" si="50"/>
        <v>0.126</v>
      </c>
      <c r="F1024" s="342"/>
      <c r="G1024" s="336">
        <v>5330870.1449616794</v>
      </c>
      <c r="H1024" s="336">
        <f t="shared" si="51"/>
        <v>671689.63826517155</v>
      </c>
      <c r="I1024" s="336">
        <f t="shared" si="52"/>
        <v>671689.63826517155</v>
      </c>
      <c r="J1024" s="336"/>
    </row>
    <row r="1025" spans="1:10">
      <c r="A1025" s="305">
        <v>42</v>
      </c>
      <c r="B1025" s="345" t="s">
        <v>641</v>
      </c>
      <c r="C1025" s="356" t="s">
        <v>341</v>
      </c>
      <c r="D1025" s="355">
        <v>4</v>
      </c>
      <c r="E1025" s="342">
        <f t="shared" si="50"/>
        <v>4</v>
      </c>
      <c r="F1025" s="342"/>
      <c r="G1025" s="336">
        <v>18305.122263450001</v>
      </c>
      <c r="H1025" s="336">
        <f t="shared" si="51"/>
        <v>73220.489053800004</v>
      </c>
      <c r="I1025" s="336">
        <f t="shared" si="52"/>
        <v>73220.489053800004</v>
      </c>
      <c r="J1025" s="336"/>
    </row>
    <row r="1026" spans="1:10">
      <c r="A1026" s="305">
        <v>43</v>
      </c>
      <c r="B1026" s="345" t="s">
        <v>640</v>
      </c>
      <c r="C1026" s="356" t="s">
        <v>90</v>
      </c>
      <c r="D1026" s="355">
        <v>7.8</v>
      </c>
      <c r="E1026" s="342">
        <f t="shared" si="50"/>
        <v>7.8</v>
      </c>
      <c r="F1026" s="342"/>
      <c r="G1026" s="336">
        <v>24406.829684599998</v>
      </c>
      <c r="H1026" s="336">
        <f t="shared" si="51"/>
        <v>190373.27153987996</v>
      </c>
      <c r="I1026" s="336">
        <f t="shared" si="52"/>
        <v>190373.27153987996</v>
      </c>
      <c r="J1026" s="336"/>
    </row>
    <row r="1027" spans="1:10" ht="32.25" customHeight="1">
      <c r="A1027" s="354"/>
      <c r="B1027" s="353" t="s">
        <v>688</v>
      </c>
      <c r="C1027" s="352"/>
      <c r="D1027" s="340"/>
      <c r="E1027" s="342">
        <f>D1027*$E$7</f>
        <v>0</v>
      </c>
      <c r="F1027" s="342"/>
      <c r="G1027" s="336"/>
      <c r="H1027" s="338">
        <f>SUM(H1028:H1070)</f>
        <v>449411770.36923641</v>
      </c>
      <c r="I1027" s="338">
        <f>SUM(I1028:I1070)</f>
        <v>449411770.36923641</v>
      </c>
      <c r="J1027" s="336"/>
    </row>
    <row r="1028" spans="1:10" ht="33">
      <c r="A1028" s="305">
        <v>1</v>
      </c>
      <c r="B1028" s="351" t="s">
        <v>333</v>
      </c>
      <c r="C1028" s="343" t="s">
        <v>652</v>
      </c>
      <c r="D1028" s="343">
        <v>400</v>
      </c>
      <c r="E1028" s="342">
        <f t="shared" ref="E1028:E1070" si="53">D1028</f>
        <v>400</v>
      </c>
      <c r="F1028" s="342"/>
      <c r="G1028" s="336">
        <v>84124.477470219994</v>
      </c>
      <c r="H1028" s="336">
        <f t="shared" ref="H1028:H1070" si="54">D1028*G1028</f>
        <v>33649790.988087997</v>
      </c>
      <c r="I1028" s="336">
        <f t="shared" ref="I1028:I1070" si="55">E1028*G1028</f>
        <v>33649790.988087997</v>
      </c>
      <c r="J1028" s="336"/>
    </row>
    <row r="1029" spans="1:10" ht="33">
      <c r="A1029" s="305">
        <v>2</v>
      </c>
      <c r="B1029" s="347" t="s">
        <v>682</v>
      </c>
      <c r="C1029" s="343" t="s">
        <v>648</v>
      </c>
      <c r="D1029" s="343">
        <v>15</v>
      </c>
      <c r="E1029" s="342">
        <f t="shared" si="53"/>
        <v>15</v>
      </c>
      <c r="F1029" s="342"/>
      <c r="G1029" s="336">
        <v>1493648.0923497099</v>
      </c>
      <c r="H1029" s="336">
        <f t="shared" si="54"/>
        <v>22404721.385245651</v>
      </c>
      <c r="I1029" s="336">
        <f t="shared" si="55"/>
        <v>22404721.385245651</v>
      </c>
      <c r="J1029" s="336"/>
    </row>
    <row r="1030" spans="1:10" ht="33">
      <c r="A1030" s="305">
        <v>3</v>
      </c>
      <c r="B1030" s="350" t="s">
        <v>674</v>
      </c>
      <c r="C1030" s="343" t="s">
        <v>673</v>
      </c>
      <c r="D1030" s="343">
        <v>14.491</v>
      </c>
      <c r="E1030" s="342">
        <f t="shared" si="53"/>
        <v>14.491</v>
      </c>
      <c r="F1030" s="342"/>
      <c r="G1030" s="336">
        <v>1533604.1673832727</v>
      </c>
      <c r="H1030" s="336">
        <f t="shared" si="54"/>
        <v>22223457.989551004</v>
      </c>
      <c r="I1030" s="336">
        <f t="shared" si="55"/>
        <v>22223457.989551004</v>
      </c>
      <c r="J1030" s="336"/>
    </row>
    <row r="1031" spans="1:10">
      <c r="A1031" s="305">
        <v>4</v>
      </c>
      <c r="B1031" s="346" t="s">
        <v>681</v>
      </c>
      <c r="C1031" s="343" t="s">
        <v>332</v>
      </c>
      <c r="D1031" s="343">
        <v>0.01</v>
      </c>
      <c r="E1031" s="342">
        <f t="shared" si="53"/>
        <v>0.01</v>
      </c>
      <c r="F1031" s="342"/>
      <c r="G1031" s="336">
        <v>21504700.68190917</v>
      </c>
      <c r="H1031" s="336">
        <f t="shared" si="54"/>
        <v>215047.00681909171</v>
      </c>
      <c r="I1031" s="336">
        <f t="shared" si="55"/>
        <v>215047.00681909171</v>
      </c>
      <c r="J1031" s="336"/>
    </row>
    <row r="1032" spans="1:10">
      <c r="A1032" s="305">
        <v>5</v>
      </c>
      <c r="B1032" s="346" t="s">
        <v>680</v>
      </c>
      <c r="C1032" s="343" t="s">
        <v>652</v>
      </c>
      <c r="D1032" s="343">
        <v>0.34799999999999998</v>
      </c>
      <c r="E1032" s="342">
        <f t="shared" si="53"/>
        <v>0.34799999999999998</v>
      </c>
      <c r="F1032" s="342"/>
      <c r="G1032" s="336">
        <v>624240.56158024003</v>
      </c>
      <c r="H1032" s="336">
        <f t="shared" si="54"/>
        <v>217235.71542992353</v>
      </c>
      <c r="I1032" s="336">
        <f t="shared" si="55"/>
        <v>217235.71542992353</v>
      </c>
      <c r="J1032" s="336"/>
    </row>
    <row r="1033" spans="1:10">
      <c r="A1033" s="305">
        <v>6</v>
      </c>
      <c r="B1033" s="346" t="s">
        <v>679</v>
      </c>
      <c r="C1033" s="343" t="s">
        <v>334</v>
      </c>
      <c r="D1033" s="343">
        <v>0.14799999999999999</v>
      </c>
      <c r="E1033" s="342">
        <f t="shared" si="53"/>
        <v>0.14799999999999999</v>
      </c>
      <c r="F1033" s="342"/>
      <c r="G1033" s="336">
        <v>860812.82264923002</v>
      </c>
      <c r="H1033" s="336">
        <f t="shared" si="54"/>
        <v>127400.29775208603</v>
      </c>
      <c r="I1033" s="336">
        <f t="shared" si="55"/>
        <v>127400.29775208603</v>
      </c>
      <c r="J1033" s="336"/>
    </row>
    <row r="1034" spans="1:10">
      <c r="A1034" s="305">
        <v>7</v>
      </c>
      <c r="B1034" s="346" t="s">
        <v>678</v>
      </c>
      <c r="C1034" s="343" t="s">
        <v>673</v>
      </c>
      <c r="D1034" s="343">
        <v>14.491</v>
      </c>
      <c r="E1034" s="342">
        <f t="shared" si="53"/>
        <v>14.491</v>
      </c>
      <c r="F1034" s="342"/>
      <c r="G1034" s="336">
        <v>349025.21381664078</v>
      </c>
      <c r="H1034" s="336">
        <f t="shared" si="54"/>
        <v>5057724.3734169416</v>
      </c>
      <c r="I1034" s="336">
        <f t="shared" si="55"/>
        <v>5057724.3734169416</v>
      </c>
      <c r="J1034" s="336"/>
    </row>
    <row r="1035" spans="1:10">
      <c r="A1035" s="305">
        <v>8</v>
      </c>
      <c r="B1035" s="346" t="s">
        <v>677</v>
      </c>
      <c r="C1035" s="343" t="s">
        <v>334</v>
      </c>
      <c r="D1035" s="343">
        <v>0.14799999999999999</v>
      </c>
      <c r="E1035" s="342">
        <f t="shared" si="53"/>
        <v>0.14799999999999999</v>
      </c>
      <c r="F1035" s="342"/>
      <c r="G1035" s="336">
        <v>860812.82264923002</v>
      </c>
      <c r="H1035" s="336">
        <f t="shared" si="54"/>
        <v>127400.29775208603</v>
      </c>
      <c r="I1035" s="336">
        <f t="shared" si="55"/>
        <v>127400.29775208603</v>
      </c>
      <c r="J1035" s="336"/>
    </row>
    <row r="1036" spans="1:10" ht="33">
      <c r="A1036" s="305">
        <v>9</v>
      </c>
      <c r="B1036" s="350" t="s">
        <v>676</v>
      </c>
      <c r="C1036" s="343" t="s">
        <v>334</v>
      </c>
      <c r="D1036" s="343">
        <v>4.45</v>
      </c>
      <c r="E1036" s="342">
        <f t="shared" si="53"/>
        <v>4.45</v>
      </c>
      <c r="F1036" s="342"/>
      <c r="G1036" s="336">
        <v>860812.82264923002</v>
      </c>
      <c r="H1036" s="336">
        <f t="shared" si="54"/>
        <v>3830617.0607890738</v>
      </c>
      <c r="I1036" s="336">
        <f t="shared" si="55"/>
        <v>3830617.0607890738</v>
      </c>
      <c r="J1036" s="336"/>
    </row>
    <row r="1037" spans="1:10">
      <c r="A1037" s="305">
        <v>10</v>
      </c>
      <c r="B1037" s="348" t="s">
        <v>675</v>
      </c>
      <c r="C1037" s="343" t="s">
        <v>334</v>
      </c>
      <c r="D1037" s="343">
        <v>1.103</v>
      </c>
      <c r="E1037" s="342">
        <f t="shared" si="53"/>
        <v>1.103</v>
      </c>
      <c r="F1037" s="342"/>
      <c r="G1037" s="336">
        <v>2826999.5248147398</v>
      </c>
      <c r="H1037" s="336">
        <f t="shared" si="54"/>
        <v>3118180.4758706582</v>
      </c>
      <c r="I1037" s="336">
        <f t="shared" si="55"/>
        <v>3118180.4758706582</v>
      </c>
      <c r="J1037" s="336"/>
    </row>
    <row r="1038" spans="1:10" ht="33">
      <c r="A1038" s="305">
        <v>11</v>
      </c>
      <c r="B1038" s="346" t="s">
        <v>674</v>
      </c>
      <c r="C1038" s="343" t="s">
        <v>673</v>
      </c>
      <c r="D1038" s="343">
        <v>77.679000000000002</v>
      </c>
      <c r="E1038" s="342">
        <f t="shared" si="53"/>
        <v>77.679000000000002</v>
      </c>
      <c r="F1038" s="342"/>
      <c r="G1038" s="336">
        <v>1533604.1673832727</v>
      </c>
      <c r="H1038" s="336">
        <f t="shared" si="54"/>
        <v>119128838.11816524</v>
      </c>
      <c r="I1038" s="336">
        <f t="shared" si="55"/>
        <v>119128838.11816524</v>
      </c>
      <c r="J1038" s="336"/>
    </row>
    <row r="1039" spans="1:10">
      <c r="A1039" s="305">
        <v>12</v>
      </c>
      <c r="B1039" s="346" t="s">
        <v>672</v>
      </c>
      <c r="C1039" s="343" t="s">
        <v>648</v>
      </c>
      <c r="D1039" s="343">
        <v>1.782</v>
      </c>
      <c r="E1039" s="342">
        <f t="shared" si="53"/>
        <v>1.782</v>
      </c>
      <c r="F1039" s="342"/>
      <c r="G1039" s="336">
        <v>264716.76676511002</v>
      </c>
      <c r="H1039" s="336">
        <f t="shared" si="54"/>
        <v>471725.27837542607</v>
      </c>
      <c r="I1039" s="336">
        <f t="shared" si="55"/>
        <v>471725.27837542607</v>
      </c>
      <c r="J1039" s="336"/>
    </row>
    <row r="1040" spans="1:10" ht="33">
      <c r="A1040" s="305">
        <v>13</v>
      </c>
      <c r="B1040" s="347" t="s">
        <v>671</v>
      </c>
      <c r="C1040" s="343" t="s">
        <v>648</v>
      </c>
      <c r="D1040" s="343">
        <v>1.782</v>
      </c>
      <c r="E1040" s="342">
        <f t="shared" si="53"/>
        <v>1.782</v>
      </c>
      <c r="F1040" s="342"/>
      <c r="G1040" s="336">
        <v>1759680.1025290301</v>
      </c>
      <c r="H1040" s="336">
        <f t="shared" si="54"/>
        <v>3135749.9427067316</v>
      </c>
      <c r="I1040" s="336">
        <f t="shared" si="55"/>
        <v>3135749.9427067316</v>
      </c>
      <c r="J1040" s="336"/>
    </row>
    <row r="1041" spans="1:10">
      <c r="A1041" s="305">
        <v>14</v>
      </c>
      <c r="B1041" s="346" t="s">
        <v>670</v>
      </c>
      <c r="C1041" s="343" t="s">
        <v>648</v>
      </c>
      <c r="D1041" s="343">
        <v>18.687999999999999</v>
      </c>
      <c r="E1041" s="342">
        <f t="shared" si="53"/>
        <v>18.687999999999999</v>
      </c>
      <c r="F1041" s="342"/>
      <c r="G1041" s="336">
        <v>1840991.5894593303</v>
      </c>
      <c r="H1041" s="336">
        <f t="shared" si="54"/>
        <v>34404450.823815964</v>
      </c>
      <c r="I1041" s="336">
        <f t="shared" si="55"/>
        <v>34404450.823815964</v>
      </c>
      <c r="J1041" s="336"/>
    </row>
    <row r="1042" spans="1:10" ht="33">
      <c r="A1042" s="305">
        <v>15</v>
      </c>
      <c r="B1042" s="346" t="s">
        <v>669</v>
      </c>
      <c r="C1042" s="343" t="s">
        <v>652</v>
      </c>
      <c r="D1042" s="343">
        <v>0.19400000000000001</v>
      </c>
      <c r="E1042" s="342">
        <f t="shared" si="53"/>
        <v>0.19400000000000001</v>
      </c>
      <c r="F1042" s="342"/>
      <c r="G1042" s="336">
        <v>15106692.40168187</v>
      </c>
      <c r="H1042" s="336">
        <f t="shared" si="54"/>
        <v>2930698.3259262829</v>
      </c>
      <c r="I1042" s="336">
        <f t="shared" si="55"/>
        <v>2930698.3259262829</v>
      </c>
      <c r="J1042" s="336"/>
    </row>
    <row r="1043" spans="1:10" ht="33">
      <c r="A1043" s="305">
        <v>16</v>
      </c>
      <c r="B1043" s="346" t="s">
        <v>668</v>
      </c>
      <c r="C1043" s="343" t="s">
        <v>332</v>
      </c>
      <c r="D1043" s="343">
        <v>0.65100000000000002</v>
      </c>
      <c r="E1043" s="342">
        <f t="shared" si="53"/>
        <v>0.65100000000000002</v>
      </c>
      <c r="F1043" s="342"/>
      <c r="G1043" s="336">
        <v>21757580.257946391</v>
      </c>
      <c r="H1043" s="336">
        <f t="shared" si="54"/>
        <v>14164184.7479231</v>
      </c>
      <c r="I1043" s="336">
        <f t="shared" si="55"/>
        <v>14164184.7479231</v>
      </c>
      <c r="J1043" s="336"/>
    </row>
    <row r="1044" spans="1:10" ht="33">
      <c r="A1044" s="305">
        <v>17</v>
      </c>
      <c r="B1044" s="346" t="s">
        <v>667</v>
      </c>
      <c r="C1044" s="343" t="s">
        <v>648</v>
      </c>
      <c r="D1044" s="343">
        <v>4.5750000000000002</v>
      </c>
      <c r="E1044" s="342">
        <f t="shared" si="53"/>
        <v>4.5750000000000002</v>
      </c>
      <c r="F1044" s="342"/>
      <c r="G1044" s="336">
        <v>2851318.75271782</v>
      </c>
      <c r="H1044" s="336">
        <f t="shared" si="54"/>
        <v>13044783.293684026</v>
      </c>
      <c r="I1044" s="336">
        <f t="shared" si="55"/>
        <v>13044783.293684026</v>
      </c>
      <c r="J1044" s="336"/>
    </row>
    <row r="1045" spans="1:10">
      <c r="A1045" s="305">
        <v>18</v>
      </c>
      <c r="B1045" s="346" t="s">
        <v>666</v>
      </c>
      <c r="C1045" s="343" t="s">
        <v>652</v>
      </c>
      <c r="D1045" s="343">
        <v>0.376</v>
      </c>
      <c r="E1045" s="342">
        <f t="shared" si="53"/>
        <v>0.376</v>
      </c>
      <c r="F1045" s="342"/>
      <c r="G1045" s="336">
        <v>10285899.44660872</v>
      </c>
      <c r="H1045" s="336">
        <f t="shared" si="54"/>
        <v>3867498.1919248789</v>
      </c>
      <c r="I1045" s="336">
        <f t="shared" si="55"/>
        <v>3867498.1919248789</v>
      </c>
      <c r="J1045" s="336"/>
    </row>
    <row r="1046" spans="1:10" ht="33">
      <c r="A1046" s="305">
        <v>19</v>
      </c>
      <c r="B1046" s="346" t="s">
        <v>665</v>
      </c>
      <c r="C1046" s="343" t="s">
        <v>332</v>
      </c>
      <c r="D1046" s="343">
        <v>0.54100000000000004</v>
      </c>
      <c r="E1046" s="342">
        <f t="shared" si="53"/>
        <v>0.54100000000000004</v>
      </c>
      <c r="F1046" s="342"/>
      <c r="G1046" s="336">
        <v>22374918.529157698</v>
      </c>
      <c r="H1046" s="336">
        <f t="shared" si="54"/>
        <v>12104830.924274316</v>
      </c>
      <c r="I1046" s="336">
        <f t="shared" si="55"/>
        <v>12104830.924274316</v>
      </c>
      <c r="J1046" s="336"/>
    </row>
    <row r="1047" spans="1:10">
      <c r="A1047" s="305">
        <v>20</v>
      </c>
      <c r="B1047" s="345" t="s">
        <v>664</v>
      </c>
      <c r="C1047" s="343" t="s">
        <v>648</v>
      </c>
      <c r="D1047" s="343">
        <v>2.504</v>
      </c>
      <c r="E1047" s="342">
        <f t="shared" si="53"/>
        <v>2.504</v>
      </c>
      <c r="F1047" s="342"/>
      <c r="G1047" s="336">
        <v>2122604.5498351101</v>
      </c>
      <c r="H1047" s="336">
        <f t="shared" si="54"/>
        <v>5315001.792787116</v>
      </c>
      <c r="I1047" s="336">
        <f t="shared" si="55"/>
        <v>5315001.792787116</v>
      </c>
      <c r="J1047" s="336"/>
    </row>
    <row r="1048" spans="1:10" ht="33">
      <c r="A1048" s="305">
        <v>21</v>
      </c>
      <c r="B1048" s="346" t="s">
        <v>663</v>
      </c>
      <c r="C1048" s="343" t="s">
        <v>106</v>
      </c>
      <c r="D1048" s="343">
        <v>9.2999999999999999E-2</v>
      </c>
      <c r="E1048" s="342">
        <f t="shared" si="53"/>
        <v>9.2999999999999999E-2</v>
      </c>
      <c r="F1048" s="342"/>
      <c r="G1048" s="336">
        <v>26779944.912297059</v>
      </c>
      <c r="H1048" s="336">
        <f t="shared" si="54"/>
        <v>2490534.8768436266</v>
      </c>
      <c r="I1048" s="336">
        <f t="shared" si="55"/>
        <v>2490534.8768436266</v>
      </c>
      <c r="J1048" s="336"/>
    </row>
    <row r="1049" spans="1:10" ht="33">
      <c r="A1049" s="305">
        <v>22</v>
      </c>
      <c r="B1049" s="346" t="s">
        <v>662</v>
      </c>
      <c r="C1049" s="343" t="s">
        <v>596</v>
      </c>
      <c r="D1049" s="343">
        <v>5</v>
      </c>
      <c r="E1049" s="342">
        <f t="shared" si="53"/>
        <v>5</v>
      </c>
      <c r="F1049" s="342"/>
      <c r="G1049" s="336">
        <v>10937379.295476042</v>
      </c>
      <c r="H1049" s="336">
        <f t="shared" si="54"/>
        <v>54686896.477380209</v>
      </c>
      <c r="I1049" s="336">
        <f t="shared" si="55"/>
        <v>54686896.477380209</v>
      </c>
      <c r="J1049" s="336"/>
    </row>
    <row r="1050" spans="1:10" ht="33">
      <c r="A1050" s="305">
        <v>23</v>
      </c>
      <c r="B1050" s="346" t="s">
        <v>661</v>
      </c>
      <c r="C1050" s="343" t="s">
        <v>660</v>
      </c>
      <c r="D1050" s="343">
        <v>4</v>
      </c>
      <c r="E1050" s="342">
        <f t="shared" si="53"/>
        <v>4</v>
      </c>
      <c r="F1050" s="342"/>
      <c r="G1050" s="336">
        <v>191119.10337420998</v>
      </c>
      <c r="H1050" s="336">
        <f t="shared" si="54"/>
        <v>764476.41349683993</v>
      </c>
      <c r="I1050" s="336">
        <f t="shared" si="55"/>
        <v>764476.41349683993</v>
      </c>
      <c r="J1050" s="336"/>
    </row>
    <row r="1051" spans="1:10">
      <c r="A1051" s="305">
        <v>24</v>
      </c>
      <c r="B1051" s="346" t="s">
        <v>659</v>
      </c>
      <c r="C1051" s="343" t="s">
        <v>652</v>
      </c>
      <c r="D1051" s="343">
        <v>1.0229999999999999</v>
      </c>
      <c r="E1051" s="342">
        <f t="shared" si="53"/>
        <v>1.0229999999999999</v>
      </c>
      <c r="F1051" s="342"/>
      <c r="G1051" s="336">
        <v>3378321.3368108603</v>
      </c>
      <c r="H1051" s="336">
        <f t="shared" si="54"/>
        <v>3456022.7275575097</v>
      </c>
      <c r="I1051" s="336">
        <f t="shared" si="55"/>
        <v>3456022.7275575097</v>
      </c>
      <c r="J1051" s="336"/>
    </row>
    <row r="1052" spans="1:10">
      <c r="A1052" s="305">
        <v>25</v>
      </c>
      <c r="B1052" s="346" t="s">
        <v>658</v>
      </c>
      <c r="C1052" s="343" t="s">
        <v>657</v>
      </c>
      <c r="D1052" s="343">
        <v>51.04</v>
      </c>
      <c r="E1052" s="342">
        <f t="shared" si="53"/>
        <v>51.04</v>
      </c>
      <c r="F1052" s="342"/>
      <c r="G1052" s="336">
        <v>1375554.8074037002</v>
      </c>
      <c r="H1052" s="336">
        <f t="shared" si="54"/>
        <v>70208317.369884863</v>
      </c>
      <c r="I1052" s="336">
        <f t="shared" si="55"/>
        <v>70208317.369884863</v>
      </c>
      <c r="J1052" s="336"/>
    </row>
    <row r="1053" spans="1:10">
      <c r="A1053" s="305">
        <v>26</v>
      </c>
      <c r="B1053" s="345" t="s">
        <v>656</v>
      </c>
      <c r="C1053" s="343" t="s">
        <v>30</v>
      </c>
      <c r="D1053" s="343">
        <v>0.28799999999999998</v>
      </c>
      <c r="E1053" s="342">
        <f t="shared" si="53"/>
        <v>0.28799999999999998</v>
      </c>
      <c r="F1053" s="342"/>
      <c r="G1053" s="336">
        <v>569218.12594581</v>
      </c>
      <c r="H1053" s="336">
        <f t="shared" si="54"/>
        <v>163934.82027239326</v>
      </c>
      <c r="I1053" s="336">
        <f t="shared" si="55"/>
        <v>163934.82027239326</v>
      </c>
      <c r="J1053" s="336"/>
    </row>
    <row r="1054" spans="1:10" ht="33">
      <c r="A1054" s="305">
        <v>27</v>
      </c>
      <c r="B1054" s="346" t="s">
        <v>684</v>
      </c>
      <c r="C1054" s="343" t="s">
        <v>334</v>
      </c>
      <c r="D1054" s="343">
        <v>0.02</v>
      </c>
      <c r="E1054" s="342">
        <f t="shared" si="53"/>
        <v>0.02</v>
      </c>
      <c r="F1054" s="342"/>
      <c r="G1054" s="336">
        <v>81252240.142090052</v>
      </c>
      <c r="H1054" s="336">
        <f t="shared" si="54"/>
        <v>1625044.8028418012</v>
      </c>
      <c r="I1054" s="336">
        <f t="shared" si="55"/>
        <v>1625044.8028418012</v>
      </c>
      <c r="J1054" s="336"/>
    </row>
    <row r="1055" spans="1:10">
      <c r="A1055" s="305">
        <v>28</v>
      </c>
      <c r="B1055" s="346" t="s">
        <v>655</v>
      </c>
      <c r="C1055" s="343" t="s">
        <v>341</v>
      </c>
      <c r="D1055" s="343">
        <v>16</v>
      </c>
      <c r="E1055" s="342">
        <f t="shared" si="53"/>
        <v>16</v>
      </c>
      <c r="F1055" s="342"/>
      <c r="G1055" s="336">
        <v>101714.18518459001</v>
      </c>
      <c r="H1055" s="336">
        <f t="shared" si="54"/>
        <v>1627426.9629534401</v>
      </c>
      <c r="I1055" s="336">
        <f t="shared" si="55"/>
        <v>1627426.9629534401</v>
      </c>
      <c r="J1055" s="336"/>
    </row>
    <row r="1056" spans="1:10" ht="33">
      <c r="A1056" s="305">
        <v>29</v>
      </c>
      <c r="B1056" s="346" t="s">
        <v>654</v>
      </c>
      <c r="C1056" s="343" t="s">
        <v>648</v>
      </c>
      <c r="D1056" s="343">
        <v>0.3</v>
      </c>
      <c r="E1056" s="342">
        <f t="shared" si="53"/>
        <v>0.3</v>
      </c>
      <c r="F1056" s="342"/>
      <c r="G1056" s="336">
        <v>2698178.6717067598</v>
      </c>
      <c r="H1056" s="336">
        <f t="shared" si="54"/>
        <v>809453.6015120279</v>
      </c>
      <c r="I1056" s="336">
        <f t="shared" si="55"/>
        <v>809453.6015120279</v>
      </c>
      <c r="J1056" s="336"/>
    </row>
    <row r="1057" spans="1:10" ht="49.5">
      <c r="A1057" s="305">
        <v>30</v>
      </c>
      <c r="B1057" s="347" t="s">
        <v>653</v>
      </c>
      <c r="C1057" s="343" t="s">
        <v>652</v>
      </c>
      <c r="D1057" s="343">
        <v>5.3999999999999999E-2</v>
      </c>
      <c r="E1057" s="342">
        <f t="shared" si="53"/>
        <v>5.3999999999999999E-2</v>
      </c>
      <c r="F1057" s="342"/>
      <c r="G1057" s="336">
        <v>16838383.735015258</v>
      </c>
      <c r="H1057" s="336">
        <f t="shared" si="54"/>
        <v>909272.72169082391</v>
      </c>
      <c r="I1057" s="336">
        <f t="shared" si="55"/>
        <v>909272.72169082391</v>
      </c>
      <c r="J1057" s="336"/>
    </row>
    <row r="1058" spans="1:10" ht="33">
      <c r="A1058" s="305">
        <v>31</v>
      </c>
      <c r="B1058" s="346" t="s">
        <v>651</v>
      </c>
      <c r="C1058" s="343" t="s">
        <v>332</v>
      </c>
      <c r="D1058" s="343">
        <v>0.01</v>
      </c>
      <c r="E1058" s="342">
        <f t="shared" si="53"/>
        <v>0.01</v>
      </c>
      <c r="F1058" s="342"/>
      <c r="G1058" s="336">
        <v>22281281.958244104</v>
      </c>
      <c r="H1058" s="336">
        <f t="shared" si="54"/>
        <v>222812.81958244104</v>
      </c>
      <c r="I1058" s="336">
        <f t="shared" si="55"/>
        <v>222812.81958244104</v>
      </c>
      <c r="J1058" s="336"/>
    </row>
    <row r="1059" spans="1:10" ht="33">
      <c r="A1059" s="305">
        <v>32</v>
      </c>
      <c r="B1059" s="346" t="s">
        <v>650</v>
      </c>
      <c r="C1059" s="343" t="s">
        <v>332</v>
      </c>
      <c r="D1059" s="343">
        <v>2.8000000000000001E-2</v>
      </c>
      <c r="E1059" s="342">
        <f t="shared" si="53"/>
        <v>2.8000000000000001E-2</v>
      </c>
      <c r="F1059" s="342"/>
      <c r="G1059" s="336">
        <v>22153399.174213231</v>
      </c>
      <c r="H1059" s="336">
        <f t="shared" si="54"/>
        <v>620295.17687797046</v>
      </c>
      <c r="I1059" s="336">
        <f t="shared" si="55"/>
        <v>620295.17687797046</v>
      </c>
      <c r="J1059" s="336"/>
    </row>
    <row r="1060" spans="1:10">
      <c r="A1060" s="305">
        <v>33</v>
      </c>
      <c r="B1060" s="346" t="s">
        <v>649</v>
      </c>
      <c r="C1060" s="343" t="s">
        <v>648</v>
      </c>
      <c r="D1060" s="343">
        <v>0.114</v>
      </c>
      <c r="E1060" s="342">
        <f t="shared" si="53"/>
        <v>0.114</v>
      </c>
      <c r="F1060" s="342"/>
      <c r="G1060" s="336">
        <v>30749640.32562983</v>
      </c>
      <c r="H1060" s="336">
        <f t="shared" si="54"/>
        <v>3505458.9971218007</v>
      </c>
      <c r="I1060" s="336">
        <f t="shared" si="55"/>
        <v>3505458.9971218007</v>
      </c>
      <c r="J1060" s="336"/>
    </row>
    <row r="1061" spans="1:10">
      <c r="A1061" s="305">
        <v>34</v>
      </c>
      <c r="B1061" s="346" t="s">
        <v>647</v>
      </c>
      <c r="C1061" s="343" t="s">
        <v>332</v>
      </c>
      <c r="D1061" s="343">
        <v>0.126</v>
      </c>
      <c r="E1061" s="342">
        <f t="shared" si="53"/>
        <v>0.126</v>
      </c>
      <c r="F1061" s="342"/>
      <c r="G1061" s="336">
        <v>30501539.91345109</v>
      </c>
      <c r="H1061" s="336">
        <f t="shared" si="54"/>
        <v>3843194.0290948376</v>
      </c>
      <c r="I1061" s="336">
        <f t="shared" si="55"/>
        <v>3843194.0290948376</v>
      </c>
      <c r="J1061" s="336"/>
    </row>
    <row r="1062" spans="1:10">
      <c r="A1062" s="305">
        <v>35</v>
      </c>
      <c r="B1062" s="346" t="s">
        <v>290</v>
      </c>
      <c r="C1062" s="343" t="s">
        <v>332</v>
      </c>
      <c r="D1062" s="343">
        <v>0.10199999999999999</v>
      </c>
      <c r="E1062" s="342">
        <f t="shared" si="53"/>
        <v>0.10199999999999999</v>
      </c>
      <c r="F1062" s="342"/>
      <c r="G1062" s="336">
        <v>19600014.080444928</v>
      </c>
      <c r="H1062" s="336">
        <f t="shared" si="54"/>
        <v>1999201.4362053825</v>
      </c>
      <c r="I1062" s="336">
        <f t="shared" si="55"/>
        <v>1999201.4362053825</v>
      </c>
      <c r="J1062" s="336"/>
    </row>
    <row r="1063" spans="1:10">
      <c r="A1063" s="305">
        <v>36</v>
      </c>
      <c r="B1063" s="346" t="s">
        <v>272</v>
      </c>
      <c r="C1063" s="343" t="s">
        <v>332</v>
      </c>
      <c r="D1063" s="343">
        <v>0.01</v>
      </c>
      <c r="E1063" s="342">
        <f t="shared" si="53"/>
        <v>0.01</v>
      </c>
      <c r="F1063" s="342"/>
      <c r="G1063" s="336">
        <v>19504568.289404657</v>
      </c>
      <c r="H1063" s="336">
        <f t="shared" si="54"/>
        <v>195045.68289404656</v>
      </c>
      <c r="I1063" s="336">
        <f t="shared" si="55"/>
        <v>195045.68289404656</v>
      </c>
      <c r="J1063" s="336"/>
    </row>
    <row r="1064" spans="1:10">
      <c r="A1064" s="305">
        <v>37</v>
      </c>
      <c r="B1064" s="346" t="s">
        <v>646</v>
      </c>
      <c r="C1064" s="343" t="s">
        <v>332</v>
      </c>
      <c r="D1064" s="343">
        <v>1.4E-2</v>
      </c>
      <c r="E1064" s="342">
        <f t="shared" si="53"/>
        <v>1.4E-2</v>
      </c>
      <c r="F1064" s="342"/>
      <c r="G1064" s="336">
        <v>82772521.609404653</v>
      </c>
      <c r="H1064" s="336">
        <f t="shared" si="54"/>
        <v>1158815.3025316652</v>
      </c>
      <c r="I1064" s="336">
        <f t="shared" si="55"/>
        <v>1158815.3025316652</v>
      </c>
      <c r="J1064" s="336"/>
    </row>
    <row r="1065" spans="1:10">
      <c r="A1065" s="305">
        <v>38</v>
      </c>
      <c r="B1065" s="346" t="s">
        <v>645</v>
      </c>
      <c r="C1065" s="343" t="s">
        <v>90</v>
      </c>
      <c r="D1065" s="343">
        <v>2.6</v>
      </c>
      <c r="E1065" s="342">
        <f t="shared" si="53"/>
        <v>2.6</v>
      </c>
      <c r="F1065" s="342"/>
      <c r="G1065" s="336">
        <v>83020.938361349996</v>
      </c>
      <c r="H1065" s="336">
        <f t="shared" si="54"/>
        <v>215854.43973951001</v>
      </c>
      <c r="I1065" s="336">
        <f t="shared" si="55"/>
        <v>215854.43973951001</v>
      </c>
      <c r="J1065" s="336"/>
    </row>
    <row r="1066" spans="1:10">
      <c r="A1066" s="305">
        <v>39</v>
      </c>
      <c r="B1066" s="346" t="s">
        <v>644</v>
      </c>
      <c r="C1066" s="343" t="s">
        <v>341</v>
      </c>
      <c r="D1066" s="343">
        <v>65</v>
      </c>
      <c r="E1066" s="342">
        <f t="shared" si="53"/>
        <v>65</v>
      </c>
      <c r="F1066" s="342"/>
      <c r="G1066" s="336">
        <v>5492.1450247399998</v>
      </c>
      <c r="H1066" s="336">
        <f t="shared" si="54"/>
        <v>356989.42660810001</v>
      </c>
      <c r="I1066" s="336">
        <f t="shared" si="55"/>
        <v>356989.42660810001</v>
      </c>
      <c r="J1066" s="336"/>
    </row>
    <row r="1067" spans="1:10">
      <c r="A1067" s="305">
        <v>40</v>
      </c>
      <c r="B1067" s="346" t="s">
        <v>643</v>
      </c>
      <c r="C1067" s="343" t="s">
        <v>341</v>
      </c>
      <c r="D1067" s="343">
        <v>8</v>
      </c>
      <c r="E1067" s="342">
        <f t="shared" si="53"/>
        <v>8</v>
      </c>
      <c r="F1067" s="342"/>
      <c r="G1067" s="336">
        <v>9762.731873839999</v>
      </c>
      <c r="H1067" s="336">
        <f t="shared" si="54"/>
        <v>78101.854990719992</v>
      </c>
      <c r="I1067" s="336">
        <f t="shared" si="55"/>
        <v>78101.854990719992</v>
      </c>
      <c r="J1067" s="336"/>
    </row>
    <row r="1068" spans="1:10" ht="33">
      <c r="A1068" s="305">
        <v>41</v>
      </c>
      <c r="B1068" s="346" t="s">
        <v>642</v>
      </c>
      <c r="C1068" s="343" t="s">
        <v>332</v>
      </c>
      <c r="D1068" s="343">
        <v>0.126</v>
      </c>
      <c r="E1068" s="342">
        <f t="shared" si="53"/>
        <v>0.126</v>
      </c>
      <c r="F1068" s="342"/>
      <c r="G1068" s="336">
        <v>5330870.1449616794</v>
      </c>
      <c r="H1068" s="336">
        <f t="shared" si="54"/>
        <v>671689.63826517155</v>
      </c>
      <c r="I1068" s="336">
        <f t="shared" si="55"/>
        <v>671689.63826517155</v>
      </c>
      <c r="J1068" s="336"/>
    </row>
    <row r="1069" spans="1:10">
      <c r="A1069" s="305">
        <v>42</v>
      </c>
      <c r="B1069" s="345" t="s">
        <v>641</v>
      </c>
      <c r="C1069" s="343" t="s">
        <v>341</v>
      </c>
      <c r="D1069" s="343">
        <v>4</v>
      </c>
      <c r="E1069" s="342">
        <f t="shared" si="53"/>
        <v>4</v>
      </c>
      <c r="F1069" s="342"/>
      <c r="G1069" s="336">
        <v>18305.122263450001</v>
      </c>
      <c r="H1069" s="336">
        <f t="shared" si="54"/>
        <v>73220.489053800004</v>
      </c>
      <c r="I1069" s="336">
        <f t="shared" si="55"/>
        <v>73220.489053800004</v>
      </c>
      <c r="J1069" s="336"/>
    </row>
    <row r="1070" spans="1:10">
      <c r="A1070" s="305">
        <v>43</v>
      </c>
      <c r="B1070" s="345" t="s">
        <v>640</v>
      </c>
      <c r="C1070" s="343" t="s">
        <v>90</v>
      </c>
      <c r="D1070" s="343">
        <v>7.8</v>
      </c>
      <c r="E1070" s="342">
        <f t="shared" si="53"/>
        <v>7.8</v>
      </c>
      <c r="F1070" s="342"/>
      <c r="G1070" s="336">
        <v>24406.829684599998</v>
      </c>
      <c r="H1070" s="336">
        <f t="shared" si="54"/>
        <v>190373.27153987996</v>
      </c>
      <c r="I1070" s="336">
        <f t="shared" si="55"/>
        <v>190373.27153987996</v>
      </c>
      <c r="J1070" s="336"/>
    </row>
    <row r="1071" spans="1:10" ht="28.5" customHeight="1">
      <c r="A1071" s="354"/>
      <c r="B1071" s="353" t="s">
        <v>687</v>
      </c>
      <c r="C1071" s="352"/>
      <c r="D1071" s="340"/>
      <c r="E1071" s="342">
        <f>D1071*$E$7</f>
        <v>0</v>
      </c>
      <c r="F1071" s="342"/>
      <c r="G1071" s="336"/>
      <c r="H1071" s="338">
        <f>SUM(H1072:H1114)</f>
        <v>384612472.34647679</v>
      </c>
      <c r="I1071" s="338">
        <f>SUM(I1072:I1114)</f>
        <v>384612472.34647679</v>
      </c>
      <c r="J1071" s="336"/>
    </row>
    <row r="1072" spans="1:10" ht="33">
      <c r="A1072" s="305">
        <v>1</v>
      </c>
      <c r="B1072" s="351" t="s">
        <v>333</v>
      </c>
      <c r="C1072" s="343" t="s">
        <v>652</v>
      </c>
      <c r="D1072" s="343">
        <v>400</v>
      </c>
      <c r="E1072" s="342">
        <f t="shared" ref="E1072:E1114" si="56">D1072</f>
        <v>400</v>
      </c>
      <c r="F1072" s="342"/>
      <c r="G1072" s="336">
        <v>84327.664935690002</v>
      </c>
      <c r="H1072" s="336">
        <f t="shared" ref="H1072:H1114" si="57">D1072*G1072</f>
        <v>33731065.974275999</v>
      </c>
      <c r="I1072" s="336">
        <f t="shared" ref="I1072:I1114" si="58">E1072*G1072</f>
        <v>33731065.974275999</v>
      </c>
      <c r="J1072" s="336"/>
    </row>
    <row r="1073" spans="1:10" ht="33">
      <c r="A1073" s="305">
        <v>2</v>
      </c>
      <c r="B1073" s="347" t="s">
        <v>682</v>
      </c>
      <c r="C1073" s="343" t="s">
        <v>648</v>
      </c>
      <c r="D1073" s="343">
        <v>15</v>
      </c>
      <c r="E1073" s="342">
        <f t="shared" si="56"/>
        <v>15</v>
      </c>
      <c r="F1073" s="342"/>
      <c r="G1073" s="336">
        <v>1464167.65948541</v>
      </c>
      <c r="H1073" s="336">
        <f t="shared" si="57"/>
        <v>21962514.892281149</v>
      </c>
      <c r="I1073" s="336">
        <f t="shared" si="58"/>
        <v>21962514.892281149</v>
      </c>
      <c r="J1073" s="336"/>
    </row>
    <row r="1074" spans="1:10" ht="33">
      <c r="A1074" s="305">
        <v>3</v>
      </c>
      <c r="B1074" s="350" t="s">
        <v>674</v>
      </c>
      <c r="C1074" s="343" t="s">
        <v>673</v>
      </c>
      <c r="D1074" s="343">
        <v>13.505000000000001</v>
      </c>
      <c r="E1074" s="342">
        <f t="shared" si="56"/>
        <v>13.505000000000001</v>
      </c>
      <c r="F1074" s="342"/>
      <c r="G1074" s="336">
        <v>1537558.4296437548</v>
      </c>
      <c r="H1074" s="336">
        <f t="shared" si="57"/>
        <v>20764726.592338912</v>
      </c>
      <c r="I1074" s="336">
        <f t="shared" si="58"/>
        <v>20764726.592338912</v>
      </c>
      <c r="J1074" s="336"/>
    </row>
    <row r="1075" spans="1:10">
      <c r="A1075" s="305">
        <v>4</v>
      </c>
      <c r="B1075" s="346" t="s">
        <v>681</v>
      </c>
      <c r="C1075" s="343" t="s">
        <v>332</v>
      </c>
      <c r="D1075" s="343">
        <v>8.9999999999999993E-3</v>
      </c>
      <c r="E1075" s="342">
        <f t="shared" si="56"/>
        <v>8.9999999999999993E-3</v>
      </c>
      <c r="F1075" s="342"/>
      <c r="G1075" s="336">
        <v>21438749.924030121</v>
      </c>
      <c r="H1075" s="336">
        <f t="shared" si="57"/>
        <v>192948.74931627107</v>
      </c>
      <c r="I1075" s="336">
        <f t="shared" si="58"/>
        <v>192948.74931627107</v>
      </c>
      <c r="J1075" s="336"/>
    </row>
    <row r="1076" spans="1:10">
      <c r="A1076" s="305">
        <v>5</v>
      </c>
      <c r="B1076" s="346" t="s">
        <v>680</v>
      </c>
      <c r="C1076" s="343" t="s">
        <v>652</v>
      </c>
      <c r="D1076" s="343">
        <v>0.36599999999999999</v>
      </c>
      <c r="E1076" s="342">
        <f t="shared" si="56"/>
        <v>0.36599999999999999</v>
      </c>
      <c r="F1076" s="342"/>
      <c r="G1076" s="336">
        <v>624240.56158024003</v>
      </c>
      <c r="H1076" s="336">
        <f t="shared" si="57"/>
        <v>228472.04553836785</v>
      </c>
      <c r="I1076" s="336">
        <f t="shared" si="58"/>
        <v>228472.04553836785</v>
      </c>
      <c r="J1076" s="336"/>
    </row>
    <row r="1077" spans="1:10">
      <c r="A1077" s="305">
        <v>6</v>
      </c>
      <c r="B1077" s="346" t="s">
        <v>679</v>
      </c>
      <c r="C1077" s="343" t="s">
        <v>334</v>
      </c>
      <c r="D1077" s="343">
        <v>0.113</v>
      </c>
      <c r="E1077" s="342">
        <f t="shared" si="56"/>
        <v>0.113</v>
      </c>
      <c r="F1077" s="342"/>
      <c r="G1077" s="336">
        <v>863700.0313651599</v>
      </c>
      <c r="H1077" s="336">
        <f t="shared" si="57"/>
        <v>97598.103544263067</v>
      </c>
      <c r="I1077" s="336">
        <f t="shared" si="58"/>
        <v>97598.103544263067</v>
      </c>
      <c r="J1077" s="336"/>
    </row>
    <row r="1078" spans="1:10">
      <c r="A1078" s="305">
        <v>7</v>
      </c>
      <c r="B1078" s="346" t="s">
        <v>678</v>
      </c>
      <c r="C1078" s="343" t="s">
        <v>673</v>
      </c>
      <c r="D1078" s="343">
        <v>13.505000000000001</v>
      </c>
      <c r="E1078" s="342">
        <f t="shared" si="56"/>
        <v>13.505000000000001</v>
      </c>
      <c r="F1078" s="342"/>
      <c r="G1078" s="336">
        <v>349025.21381664078</v>
      </c>
      <c r="H1078" s="336">
        <f t="shared" si="57"/>
        <v>4713585.5125937341</v>
      </c>
      <c r="I1078" s="336">
        <f t="shared" si="58"/>
        <v>4713585.5125937341</v>
      </c>
      <c r="J1078" s="336"/>
    </row>
    <row r="1079" spans="1:10">
      <c r="A1079" s="305">
        <v>8</v>
      </c>
      <c r="B1079" s="346" t="s">
        <v>677</v>
      </c>
      <c r="C1079" s="343" t="s">
        <v>334</v>
      </c>
      <c r="D1079" s="343">
        <v>0.113</v>
      </c>
      <c r="E1079" s="342">
        <f t="shared" si="56"/>
        <v>0.113</v>
      </c>
      <c r="F1079" s="342"/>
      <c r="G1079" s="336">
        <v>863700.0313651599</v>
      </c>
      <c r="H1079" s="336">
        <f t="shared" si="57"/>
        <v>97598.103544263067</v>
      </c>
      <c r="I1079" s="336">
        <f t="shared" si="58"/>
        <v>97598.103544263067</v>
      </c>
      <c r="J1079" s="336"/>
    </row>
    <row r="1080" spans="1:10" ht="33">
      <c r="A1080" s="305">
        <v>9</v>
      </c>
      <c r="B1080" s="350" t="s">
        <v>676</v>
      </c>
      <c r="C1080" s="343" t="s">
        <v>334</v>
      </c>
      <c r="D1080" s="343">
        <v>3.407</v>
      </c>
      <c r="E1080" s="342">
        <f t="shared" si="56"/>
        <v>3.407</v>
      </c>
      <c r="F1080" s="342"/>
      <c r="G1080" s="336">
        <v>863700.0313651599</v>
      </c>
      <c r="H1080" s="336">
        <f t="shared" si="57"/>
        <v>2942626.0068611</v>
      </c>
      <c r="I1080" s="336">
        <f t="shared" si="58"/>
        <v>2942626.0068611</v>
      </c>
      <c r="J1080" s="336"/>
    </row>
    <row r="1081" spans="1:10">
      <c r="A1081" s="305">
        <v>10</v>
      </c>
      <c r="B1081" s="348" t="s">
        <v>675</v>
      </c>
      <c r="C1081" s="343" t="s">
        <v>334</v>
      </c>
      <c r="D1081" s="343">
        <v>1.1850000000000001</v>
      </c>
      <c r="E1081" s="342">
        <f t="shared" si="56"/>
        <v>1.1850000000000001</v>
      </c>
      <c r="F1081" s="342"/>
      <c r="G1081" s="336">
        <v>2830952.5552058299</v>
      </c>
      <c r="H1081" s="336">
        <f t="shared" si="57"/>
        <v>3354678.7779189087</v>
      </c>
      <c r="I1081" s="336">
        <f t="shared" si="58"/>
        <v>3354678.7779189087</v>
      </c>
      <c r="J1081" s="336"/>
    </row>
    <row r="1082" spans="1:10" ht="33">
      <c r="A1082" s="305">
        <v>11</v>
      </c>
      <c r="B1082" s="346" t="s">
        <v>674</v>
      </c>
      <c r="C1082" s="343" t="s">
        <v>673</v>
      </c>
      <c r="D1082" s="343">
        <v>66.697000000000003</v>
      </c>
      <c r="E1082" s="342">
        <f t="shared" si="56"/>
        <v>66.697000000000003</v>
      </c>
      <c r="F1082" s="342"/>
      <c r="G1082" s="336">
        <v>1537558.4296437548</v>
      </c>
      <c r="H1082" s="336">
        <f t="shared" si="57"/>
        <v>102550534.58194952</v>
      </c>
      <c r="I1082" s="336">
        <f t="shared" si="58"/>
        <v>102550534.58194952</v>
      </c>
      <c r="J1082" s="336"/>
    </row>
    <row r="1083" spans="1:10">
      <c r="A1083" s="305">
        <v>12</v>
      </c>
      <c r="B1083" s="346" t="s">
        <v>672</v>
      </c>
      <c r="C1083" s="343" t="s">
        <v>648</v>
      </c>
      <c r="D1083" s="343">
        <v>1.3520000000000001</v>
      </c>
      <c r="E1083" s="342">
        <f t="shared" si="56"/>
        <v>1.3520000000000001</v>
      </c>
      <c r="F1083" s="342"/>
      <c r="G1083" s="336">
        <v>286534.47712922998</v>
      </c>
      <c r="H1083" s="336">
        <f t="shared" si="57"/>
        <v>387394.61307871895</v>
      </c>
      <c r="I1083" s="336">
        <f t="shared" si="58"/>
        <v>387394.61307871895</v>
      </c>
      <c r="J1083" s="336"/>
    </row>
    <row r="1084" spans="1:10" ht="33">
      <c r="A1084" s="305">
        <v>13</v>
      </c>
      <c r="B1084" s="347" t="s">
        <v>671</v>
      </c>
      <c r="C1084" s="343" t="s">
        <v>648</v>
      </c>
      <c r="D1084" s="343">
        <v>1.3520000000000001</v>
      </c>
      <c r="E1084" s="342">
        <f t="shared" si="56"/>
        <v>1.3520000000000001</v>
      </c>
      <c r="F1084" s="342"/>
      <c r="G1084" s="336">
        <v>1729247.0002906998</v>
      </c>
      <c r="H1084" s="336">
        <f t="shared" si="57"/>
        <v>2337941.9443930262</v>
      </c>
      <c r="I1084" s="336">
        <f t="shared" si="58"/>
        <v>2337941.9443930262</v>
      </c>
      <c r="J1084" s="336"/>
    </row>
    <row r="1085" spans="1:10">
      <c r="A1085" s="305">
        <v>14</v>
      </c>
      <c r="B1085" s="346" t="s">
        <v>670</v>
      </c>
      <c r="C1085" s="343" t="s">
        <v>648</v>
      </c>
      <c r="D1085" s="343">
        <v>14.462</v>
      </c>
      <c r="E1085" s="342">
        <f t="shared" si="56"/>
        <v>14.462</v>
      </c>
      <c r="F1085" s="342"/>
      <c r="G1085" s="336">
        <v>1811024.48003103</v>
      </c>
      <c r="H1085" s="336">
        <f t="shared" si="57"/>
        <v>26191036.030208755</v>
      </c>
      <c r="I1085" s="336">
        <f t="shared" si="58"/>
        <v>26191036.030208755</v>
      </c>
      <c r="J1085" s="336"/>
    </row>
    <row r="1086" spans="1:10" ht="33">
      <c r="A1086" s="305">
        <v>15</v>
      </c>
      <c r="B1086" s="346" t="s">
        <v>669</v>
      </c>
      <c r="C1086" s="343" t="s">
        <v>652</v>
      </c>
      <c r="D1086" s="343">
        <v>0.185</v>
      </c>
      <c r="E1086" s="342">
        <f t="shared" si="56"/>
        <v>0.185</v>
      </c>
      <c r="F1086" s="342"/>
      <c r="G1086" s="336">
        <v>15114297.939685781</v>
      </c>
      <c r="H1086" s="336">
        <f t="shared" si="57"/>
        <v>2796145.1188418693</v>
      </c>
      <c r="I1086" s="336">
        <f t="shared" si="58"/>
        <v>2796145.1188418693</v>
      </c>
      <c r="J1086" s="336"/>
    </row>
    <row r="1087" spans="1:10" ht="33">
      <c r="A1087" s="305">
        <v>16</v>
      </c>
      <c r="B1087" s="346" t="s">
        <v>668</v>
      </c>
      <c r="C1087" s="343" t="s">
        <v>332</v>
      </c>
      <c r="D1087" s="343">
        <v>0.50600000000000001</v>
      </c>
      <c r="E1087" s="342">
        <f t="shared" si="56"/>
        <v>0.50600000000000001</v>
      </c>
      <c r="F1087" s="342"/>
      <c r="G1087" s="336">
        <v>21724415.683492608</v>
      </c>
      <c r="H1087" s="336">
        <f t="shared" si="57"/>
        <v>10992554.33584726</v>
      </c>
      <c r="I1087" s="336">
        <f t="shared" si="58"/>
        <v>10992554.33584726</v>
      </c>
      <c r="J1087" s="336"/>
    </row>
    <row r="1088" spans="1:10" ht="33">
      <c r="A1088" s="305">
        <v>17</v>
      </c>
      <c r="B1088" s="346" t="s">
        <v>667</v>
      </c>
      <c r="C1088" s="343" t="s">
        <v>648</v>
      </c>
      <c r="D1088" s="343">
        <v>4.585</v>
      </c>
      <c r="E1088" s="342">
        <f t="shared" si="56"/>
        <v>4.585</v>
      </c>
      <c r="F1088" s="342"/>
      <c r="G1088" s="336">
        <v>2821833.4530878798</v>
      </c>
      <c r="H1088" s="336">
        <f t="shared" si="57"/>
        <v>12938106.38240793</v>
      </c>
      <c r="I1088" s="336">
        <f t="shared" si="58"/>
        <v>12938106.38240793</v>
      </c>
      <c r="J1088" s="336"/>
    </row>
    <row r="1089" spans="1:10">
      <c r="A1089" s="305">
        <v>18</v>
      </c>
      <c r="B1089" s="346" t="s">
        <v>666</v>
      </c>
      <c r="C1089" s="343" t="s">
        <v>652</v>
      </c>
      <c r="D1089" s="343">
        <v>0.376</v>
      </c>
      <c r="E1089" s="342">
        <f t="shared" si="56"/>
        <v>0.376</v>
      </c>
      <c r="F1089" s="342"/>
      <c r="G1089" s="336">
        <v>10285696.25914325</v>
      </c>
      <c r="H1089" s="336">
        <f t="shared" si="57"/>
        <v>3867421.7934378618</v>
      </c>
      <c r="I1089" s="336">
        <f t="shared" si="58"/>
        <v>3867421.7934378618</v>
      </c>
      <c r="J1089" s="336"/>
    </row>
    <row r="1090" spans="1:10" ht="33">
      <c r="A1090" s="305">
        <v>19</v>
      </c>
      <c r="B1090" s="346" t="s">
        <v>665</v>
      </c>
      <c r="C1090" s="343" t="s">
        <v>332</v>
      </c>
      <c r="D1090" s="343">
        <v>0.45400000000000001</v>
      </c>
      <c r="E1090" s="342">
        <f t="shared" si="56"/>
        <v>0.45400000000000001</v>
      </c>
      <c r="F1090" s="342"/>
      <c r="G1090" s="336">
        <v>22341753.95470392</v>
      </c>
      <c r="H1090" s="336">
        <f t="shared" si="57"/>
        <v>10143156.295435579</v>
      </c>
      <c r="I1090" s="336">
        <f t="shared" si="58"/>
        <v>10143156.295435579</v>
      </c>
      <c r="J1090" s="336"/>
    </row>
    <row r="1091" spans="1:10">
      <c r="A1091" s="305">
        <v>20</v>
      </c>
      <c r="B1091" s="345" t="s">
        <v>664</v>
      </c>
      <c r="C1091" s="343" t="s">
        <v>648</v>
      </c>
      <c r="D1091" s="343">
        <v>3.1520000000000001</v>
      </c>
      <c r="E1091" s="342">
        <f t="shared" si="56"/>
        <v>3.1520000000000001</v>
      </c>
      <c r="F1091" s="342"/>
      <c r="G1091" s="336">
        <v>2092592.4228246401</v>
      </c>
      <c r="H1091" s="336">
        <f t="shared" si="57"/>
        <v>6595851.3167432658</v>
      </c>
      <c r="I1091" s="336">
        <f t="shared" si="58"/>
        <v>6595851.3167432658</v>
      </c>
      <c r="J1091" s="336"/>
    </row>
    <row r="1092" spans="1:10" ht="33">
      <c r="A1092" s="305">
        <v>21</v>
      </c>
      <c r="B1092" s="346" t="s">
        <v>663</v>
      </c>
      <c r="C1092" s="343" t="s">
        <v>106</v>
      </c>
      <c r="D1092" s="343">
        <v>0.104</v>
      </c>
      <c r="E1092" s="342">
        <f t="shared" si="56"/>
        <v>0.104</v>
      </c>
      <c r="F1092" s="342"/>
      <c r="G1092" s="336">
        <v>26790027.634011731</v>
      </c>
      <c r="H1092" s="336">
        <f t="shared" si="57"/>
        <v>2786162.8739372198</v>
      </c>
      <c r="I1092" s="336">
        <f t="shared" si="58"/>
        <v>2786162.8739372198</v>
      </c>
      <c r="J1092" s="336"/>
    </row>
    <row r="1093" spans="1:10" ht="33">
      <c r="A1093" s="305">
        <v>22</v>
      </c>
      <c r="B1093" s="346" t="s">
        <v>662</v>
      </c>
      <c r="C1093" s="343" t="s">
        <v>596</v>
      </c>
      <c r="D1093" s="343">
        <v>5</v>
      </c>
      <c r="E1093" s="342">
        <f t="shared" si="56"/>
        <v>5</v>
      </c>
      <c r="F1093" s="342"/>
      <c r="G1093" s="336">
        <v>5565641.7027438702</v>
      </c>
      <c r="H1093" s="336">
        <f t="shared" si="57"/>
        <v>27828208.51371935</v>
      </c>
      <c r="I1093" s="336">
        <f t="shared" si="58"/>
        <v>27828208.51371935</v>
      </c>
      <c r="J1093" s="336"/>
    </row>
    <row r="1094" spans="1:10" ht="33">
      <c r="A1094" s="305">
        <v>23</v>
      </c>
      <c r="B1094" s="346" t="s">
        <v>661</v>
      </c>
      <c r="C1094" s="343" t="s">
        <v>660</v>
      </c>
      <c r="D1094" s="343">
        <v>4</v>
      </c>
      <c r="E1094" s="342">
        <f t="shared" si="56"/>
        <v>4</v>
      </c>
      <c r="F1094" s="342"/>
      <c r="G1094" s="336">
        <v>136203.73658385998</v>
      </c>
      <c r="H1094" s="336">
        <f t="shared" si="57"/>
        <v>544814.94633543992</v>
      </c>
      <c r="I1094" s="336">
        <f t="shared" si="58"/>
        <v>544814.94633543992</v>
      </c>
      <c r="J1094" s="336"/>
    </row>
    <row r="1095" spans="1:10">
      <c r="A1095" s="305">
        <v>24</v>
      </c>
      <c r="B1095" s="346" t="s">
        <v>659</v>
      </c>
      <c r="C1095" s="343" t="s">
        <v>652</v>
      </c>
      <c r="D1095" s="343">
        <v>0.95299999999999996</v>
      </c>
      <c r="E1095" s="342">
        <f t="shared" si="56"/>
        <v>0.95299999999999996</v>
      </c>
      <c r="F1095" s="342"/>
      <c r="G1095" s="336">
        <v>3712823.8727793405</v>
      </c>
      <c r="H1095" s="336">
        <f t="shared" si="57"/>
        <v>3538321.1507587112</v>
      </c>
      <c r="I1095" s="336">
        <f t="shared" si="58"/>
        <v>3538321.1507587112</v>
      </c>
      <c r="J1095" s="336"/>
    </row>
    <row r="1096" spans="1:10">
      <c r="A1096" s="305">
        <v>25</v>
      </c>
      <c r="B1096" s="346" t="s">
        <v>658</v>
      </c>
      <c r="C1096" s="343" t="s">
        <v>657</v>
      </c>
      <c r="D1096" s="343">
        <v>47.28</v>
      </c>
      <c r="E1096" s="342">
        <f t="shared" si="56"/>
        <v>47.28</v>
      </c>
      <c r="F1096" s="342"/>
      <c r="G1096" s="336">
        <v>1347323.9166174701</v>
      </c>
      <c r="H1096" s="336">
        <f t="shared" si="57"/>
        <v>63701474.77767399</v>
      </c>
      <c r="I1096" s="336">
        <f t="shared" si="58"/>
        <v>63701474.77767399</v>
      </c>
      <c r="J1096" s="336"/>
    </row>
    <row r="1097" spans="1:10">
      <c r="A1097" s="305">
        <v>26</v>
      </c>
      <c r="B1097" s="345" t="s">
        <v>656</v>
      </c>
      <c r="C1097" s="343" t="s">
        <v>30</v>
      </c>
      <c r="D1097" s="343">
        <v>0.216</v>
      </c>
      <c r="E1097" s="342">
        <f t="shared" si="56"/>
        <v>0.216</v>
      </c>
      <c r="F1097" s="342"/>
      <c r="G1097" s="336">
        <v>533930.42498158</v>
      </c>
      <c r="H1097" s="336">
        <f t="shared" si="57"/>
        <v>115328.97179602127</v>
      </c>
      <c r="I1097" s="336">
        <f t="shared" si="58"/>
        <v>115328.97179602127</v>
      </c>
      <c r="J1097" s="336"/>
    </row>
    <row r="1098" spans="1:10" ht="33">
      <c r="A1098" s="305">
        <v>27</v>
      </c>
      <c r="B1098" s="346" t="s">
        <v>684</v>
      </c>
      <c r="C1098" s="343" t="s">
        <v>334</v>
      </c>
      <c r="D1098" s="343">
        <v>8.6999999999999994E-2</v>
      </c>
      <c r="E1098" s="342">
        <f t="shared" si="56"/>
        <v>8.6999999999999994E-2</v>
      </c>
      <c r="F1098" s="342"/>
      <c r="G1098" s="336">
        <v>82286302.521374837</v>
      </c>
      <c r="H1098" s="336">
        <f t="shared" si="57"/>
        <v>7158908.3193596099</v>
      </c>
      <c r="I1098" s="336">
        <f t="shared" si="58"/>
        <v>7158908.3193596099</v>
      </c>
      <c r="J1098" s="336"/>
    </row>
    <row r="1099" spans="1:10">
      <c r="A1099" s="305">
        <v>28</v>
      </c>
      <c r="B1099" s="346" t="s">
        <v>655</v>
      </c>
      <c r="C1099" s="343" t="s">
        <v>341</v>
      </c>
      <c r="D1099" s="343">
        <v>16</v>
      </c>
      <c r="E1099" s="342">
        <f t="shared" si="56"/>
        <v>16</v>
      </c>
      <c r="F1099" s="342"/>
      <c r="G1099" s="336">
        <v>101274.95958558</v>
      </c>
      <c r="H1099" s="336">
        <f t="shared" si="57"/>
        <v>1620399.35336928</v>
      </c>
      <c r="I1099" s="336">
        <f t="shared" si="58"/>
        <v>1620399.35336928</v>
      </c>
      <c r="J1099" s="336"/>
    </row>
    <row r="1100" spans="1:10" ht="33">
      <c r="A1100" s="305">
        <v>29</v>
      </c>
      <c r="B1100" s="346" t="s">
        <v>654</v>
      </c>
      <c r="C1100" s="343" t="s">
        <v>648</v>
      </c>
      <c r="D1100" s="343">
        <v>0.3</v>
      </c>
      <c r="E1100" s="342">
        <f t="shared" si="56"/>
        <v>0.3</v>
      </c>
      <c r="F1100" s="342"/>
      <c r="G1100" s="336">
        <v>2668440.3002635404</v>
      </c>
      <c r="H1100" s="336">
        <f t="shared" si="57"/>
        <v>800532.09007906204</v>
      </c>
      <c r="I1100" s="336">
        <f t="shared" si="58"/>
        <v>800532.09007906204</v>
      </c>
      <c r="J1100" s="336"/>
    </row>
    <row r="1101" spans="1:10" ht="49.5">
      <c r="A1101" s="305">
        <v>30</v>
      </c>
      <c r="B1101" s="347" t="s">
        <v>653</v>
      </c>
      <c r="C1101" s="343" t="s">
        <v>652</v>
      </c>
      <c r="D1101" s="343">
        <v>5.3999999999999999E-2</v>
      </c>
      <c r="E1101" s="342">
        <f t="shared" si="56"/>
        <v>5.3999999999999999E-2</v>
      </c>
      <c r="F1101" s="342"/>
      <c r="G1101" s="336">
        <v>16854498.81274071</v>
      </c>
      <c r="H1101" s="336">
        <f t="shared" si="57"/>
        <v>910142.93588799832</v>
      </c>
      <c r="I1101" s="336">
        <f t="shared" si="58"/>
        <v>910142.93588799832</v>
      </c>
      <c r="J1101" s="336"/>
    </row>
    <row r="1102" spans="1:10" ht="33">
      <c r="A1102" s="305">
        <v>31</v>
      </c>
      <c r="B1102" s="346" t="s">
        <v>651</v>
      </c>
      <c r="C1102" s="343" t="s">
        <v>332</v>
      </c>
      <c r="D1102" s="343">
        <v>0.01</v>
      </c>
      <c r="E1102" s="342">
        <f t="shared" si="56"/>
        <v>0.01</v>
      </c>
      <c r="F1102" s="342"/>
      <c r="G1102" s="336">
        <v>22215331.200365052</v>
      </c>
      <c r="H1102" s="336">
        <f t="shared" si="57"/>
        <v>222153.31200365053</v>
      </c>
      <c r="I1102" s="336">
        <f t="shared" si="58"/>
        <v>222153.31200365053</v>
      </c>
      <c r="J1102" s="336"/>
    </row>
    <row r="1103" spans="1:10" ht="33">
      <c r="A1103" s="305">
        <v>32</v>
      </c>
      <c r="B1103" s="346" t="s">
        <v>650</v>
      </c>
      <c r="C1103" s="343" t="s">
        <v>332</v>
      </c>
      <c r="D1103" s="343">
        <v>2.8000000000000001E-2</v>
      </c>
      <c r="E1103" s="342">
        <f t="shared" si="56"/>
        <v>2.8000000000000001E-2</v>
      </c>
      <c r="F1103" s="342"/>
      <c r="G1103" s="336">
        <v>22120583.79019412</v>
      </c>
      <c r="H1103" s="336">
        <f t="shared" si="57"/>
        <v>619376.34612543543</v>
      </c>
      <c r="I1103" s="336">
        <f t="shared" si="58"/>
        <v>619376.34612543543</v>
      </c>
      <c r="J1103" s="336"/>
    </row>
    <row r="1104" spans="1:10">
      <c r="A1104" s="305">
        <v>33</v>
      </c>
      <c r="B1104" s="346" t="s">
        <v>649</v>
      </c>
      <c r="C1104" s="343" t="s">
        <v>648</v>
      </c>
      <c r="D1104" s="343">
        <v>5.3999999999999999E-2</v>
      </c>
      <c r="E1104" s="342">
        <f t="shared" si="56"/>
        <v>5.3999999999999999E-2</v>
      </c>
      <c r="F1104" s="342"/>
      <c r="G1104" s="336">
        <v>30756071.75642309</v>
      </c>
      <c r="H1104" s="336">
        <f t="shared" si="57"/>
        <v>1660827.8748468468</v>
      </c>
      <c r="I1104" s="336">
        <f t="shared" si="58"/>
        <v>1660827.8748468468</v>
      </c>
      <c r="J1104" s="336"/>
    </row>
    <row r="1105" spans="1:10">
      <c r="A1105" s="305">
        <v>34</v>
      </c>
      <c r="B1105" s="346" t="s">
        <v>647</v>
      </c>
      <c r="C1105" s="343" t="s">
        <v>332</v>
      </c>
      <c r="D1105" s="343">
        <v>8.5000000000000006E-2</v>
      </c>
      <c r="E1105" s="342">
        <f t="shared" si="56"/>
        <v>8.5000000000000006E-2</v>
      </c>
      <c r="F1105" s="342"/>
      <c r="G1105" s="336">
        <v>30074009.152274009</v>
      </c>
      <c r="H1105" s="336">
        <f t="shared" si="57"/>
        <v>2556290.7779432908</v>
      </c>
      <c r="I1105" s="336">
        <f t="shared" si="58"/>
        <v>2556290.7779432908</v>
      </c>
      <c r="J1105" s="336"/>
    </row>
    <row r="1106" spans="1:10">
      <c r="A1106" s="305">
        <v>35</v>
      </c>
      <c r="B1106" s="346" t="s">
        <v>290</v>
      </c>
      <c r="C1106" s="343" t="s">
        <v>332</v>
      </c>
      <c r="D1106" s="343">
        <v>6.0999999999999999E-2</v>
      </c>
      <c r="E1106" s="342">
        <f t="shared" si="56"/>
        <v>6.0999999999999999E-2</v>
      </c>
      <c r="F1106" s="342"/>
      <c r="G1106" s="336">
        <v>19577001.579116192</v>
      </c>
      <c r="H1106" s="336">
        <f t="shared" si="57"/>
        <v>1194197.0963260876</v>
      </c>
      <c r="I1106" s="336">
        <f t="shared" si="58"/>
        <v>1194197.0963260876</v>
      </c>
      <c r="J1106" s="336"/>
    </row>
    <row r="1107" spans="1:10">
      <c r="A1107" s="305">
        <v>36</v>
      </c>
      <c r="B1107" s="346" t="s">
        <v>272</v>
      </c>
      <c r="C1107" s="343" t="s">
        <v>332</v>
      </c>
      <c r="D1107" s="343">
        <v>0.01</v>
      </c>
      <c r="E1107" s="342">
        <f t="shared" si="56"/>
        <v>0.01</v>
      </c>
      <c r="F1107" s="342"/>
      <c r="G1107" s="336">
        <v>19504568.289404657</v>
      </c>
      <c r="H1107" s="336">
        <f t="shared" si="57"/>
        <v>195045.68289404656</v>
      </c>
      <c r="I1107" s="336">
        <f t="shared" si="58"/>
        <v>195045.68289404656</v>
      </c>
      <c r="J1107" s="336"/>
    </row>
    <row r="1108" spans="1:10">
      <c r="A1108" s="305">
        <v>37</v>
      </c>
      <c r="B1108" s="346" t="s">
        <v>646</v>
      </c>
      <c r="C1108" s="343" t="s">
        <v>332</v>
      </c>
      <c r="D1108" s="343">
        <v>1.4E-2</v>
      </c>
      <c r="E1108" s="342">
        <f t="shared" si="56"/>
        <v>1.4E-2</v>
      </c>
      <c r="F1108" s="342"/>
      <c r="G1108" s="336">
        <v>82772521.609404653</v>
      </c>
      <c r="H1108" s="336">
        <f t="shared" si="57"/>
        <v>1158815.3025316652</v>
      </c>
      <c r="I1108" s="336">
        <f t="shared" si="58"/>
        <v>1158815.3025316652</v>
      </c>
      <c r="J1108" s="336"/>
    </row>
    <row r="1109" spans="1:10">
      <c r="A1109" s="305">
        <v>38</v>
      </c>
      <c r="B1109" s="346" t="s">
        <v>645</v>
      </c>
      <c r="C1109" s="343" t="s">
        <v>90</v>
      </c>
      <c r="D1109" s="343">
        <v>2.1</v>
      </c>
      <c r="E1109" s="342">
        <f t="shared" si="56"/>
        <v>2.1</v>
      </c>
      <c r="F1109" s="342"/>
      <c r="G1109" s="336">
        <v>82983.22092764001</v>
      </c>
      <c r="H1109" s="336">
        <f t="shared" si="57"/>
        <v>174264.76394804404</v>
      </c>
      <c r="I1109" s="336">
        <f t="shared" si="58"/>
        <v>174264.76394804404</v>
      </c>
      <c r="J1109" s="336"/>
    </row>
    <row r="1110" spans="1:10">
      <c r="A1110" s="305">
        <v>39</v>
      </c>
      <c r="B1110" s="346" t="s">
        <v>644</v>
      </c>
      <c r="C1110" s="343" t="s">
        <v>341</v>
      </c>
      <c r="D1110" s="343">
        <v>36</v>
      </c>
      <c r="E1110" s="342">
        <f t="shared" si="56"/>
        <v>36</v>
      </c>
      <c r="F1110" s="342"/>
      <c r="G1110" s="336">
        <v>5492.1450247399998</v>
      </c>
      <c r="H1110" s="336">
        <f t="shared" si="57"/>
        <v>197717.22089063999</v>
      </c>
      <c r="I1110" s="336">
        <f t="shared" si="58"/>
        <v>197717.22089063999</v>
      </c>
      <c r="J1110" s="336"/>
    </row>
    <row r="1111" spans="1:10">
      <c r="A1111" s="305">
        <v>40</v>
      </c>
      <c r="B1111" s="346" t="s">
        <v>643</v>
      </c>
      <c r="C1111" s="343" t="s">
        <v>341</v>
      </c>
      <c r="D1111" s="343">
        <v>8</v>
      </c>
      <c r="E1111" s="342">
        <f t="shared" si="56"/>
        <v>8</v>
      </c>
      <c r="F1111" s="342"/>
      <c r="G1111" s="336">
        <v>9762.731873839999</v>
      </c>
      <c r="H1111" s="336">
        <f t="shared" si="57"/>
        <v>78101.854990719992</v>
      </c>
      <c r="I1111" s="336">
        <f t="shared" si="58"/>
        <v>78101.854990719992</v>
      </c>
      <c r="J1111" s="336"/>
    </row>
    <row r="1112" spans="1:10" ht="33">
      <c r="A1112" s="305">
        <v>41</v>
      </c>
      <c r="B1112" s="346" t="s">
        <v>642</v>
      </c>
      <c r="C1112" s="343" t="s">
        <v>332</v>
      </c>
      <c r="D1112" s="343">
        <v>8.5000000000000006E-2</v>
      </c>
      <c r="E1112" s="342">
        <f t="shared" si="56"/>
        <v>8.5000000000000006E-2</v>
      </c>
      <c r="F1112" s="342"/>
      <c r="G1112" s="336">
        <v>5359203.2378263492</v>
      </c>
      <c r="H1112" s="336">
        <f t="shared" si="57"/>
        <v>455532.27521523973</v>
      </c>
      <c r="I1112" s="336">
        <f t="shared" si="58"/>
        <v>455532.27521523973</v>
      </c>
      <c r="J1112" s="336"/>
    </row>
    <row r="1113" spans="1:10">
      <c r="A1113" s="305">
        <v>42</v>
      </c>
      <c r="B1113" s="345" t="s">
        <v>641</v>
      </c>
      <c r="C1113" s="343" t="s">
        <v>341</v>
      </c>
      <c r="D1113" s="343">
        <v>4</v>
      </c>
      <c r="E1113" s="342">
        <f t="shared" si="56"/>
        <v>4</v>
      </c>
      <c r="F1113" s="342"/>
      <c r="G1113" s="336">
        <v>18305.122263450001</v>
      </c>
      <c r="H1113" s="336">
        <f t="shared" si="57"/>
        <v>73220.489053800004</v>
      </c>
      <c r="I1113" s="336">
        <f t="shared" si="58"/>
        <v>73220.489053800004</v>
      </c>
      <c r="J1113" s="336"/>
    </row>
    <row r="1114" spans="1:10">
      <c r="A1114" s="305">
        <v>43</v>
      </c>
      <c r="B1114" s="345" t="s">
        <v>640</v>
      </c>
      <c r="C1114" s="343" t="s">
        <v>90</v>
      </c>
      <c r="D1114" s="343">
        <v>5.6</v>
      </c>
      <c r="E1114" s="342">
        <f t="shared" si="56"/>
        <v>5.6</v>
      </c>
      <c r="F1114" s="342"/>
      <c r="G1114" s="336">
        <v>24406.829684599998</v>
      </c>
      <c r="H1114" s="336">
        <f t="shared" si="57"/>
        <v>136678.24623375997</v>
      </c>
      <c r="I1114" s="336">
        <f t="shared" si="58"/>
        <v>136678.24623375997</v>
      </c>
      <c r="J1114" s="336"/>
    </row>
    <row r="1115" spans="1:10" ht="30" customHeight="1">
      <c r="A1115" s="354"/>
      <c r="B1115" s="353" t="s">
        <v>686</v>
      </c>
      <c r="C1115" s="352"/>
      <c r="D1115" s="340"/>
      <c r="E1115" s="342">
        <f>D1115*$E$7</f>
        <v>0</v>
      </c>
      <c r="F1115" s="342"/>
      <c r="G1115" s="336"/>
      <c r="H1115" s="338">
        <f>SUM(H1116:H1159)</f>
        <v>441121342.86280316</v>
      </c>
      <c r="I1115" s="338">
        <f>SUM(I1116:I1159)</f>
        <v>441121342.86280316</v>
      </c>
      <c r="J1115" s="336"/>
    </row>
    <row r="1116" spans="1:10" ht="33">
      <c r="A1116" s="305">
        <v>1</v>
      </c>
      <c r="B1116" s="351" t="s">
        <v>333</v>
      </c>
      <c r="C1116" s="343" t="s">
        <v>652</v>
      </c>
      <c r="D1116" s="343">
        <v>400</v>
      </c>
      <c r="E1116" s="342">
        <f t="shared" ref="E1116:E1159" si="59">D1116</f>
        <v>400</v>
      </c>
      <c r="F1116" s="342"/>
      <c r="G1116" s="336">
        <v>84124.477470219994</v>
      </c>
      <c r="H1116" s="336">
        <f t="shared" ref="H1116:H1159" si="60">D1116*G1116</f>
        <v>33649790.988087997</v>
      </c>
      <c r="I1116" s="336">
        <f t="shared" ref="I1116:I1159" si="61">E1116*G1116</f>
        <v>33649790.988087997</v>
      </c>
      <c r="J1116" s="336"/>
    </row>
    <row r="1117" spans="1:10" ht="33">
      <c r="A1117" s="305">
        <v>2</v>
      </c>
      <c r="B1117" s="347" t="s">
        <v>682</v>
      </c>
      <c r="C1117" s="343" t="s">
        <v>648</v>
      </c>
      <c r="D1117" s="343">
        <v>15</v>
      </c>
      <c r="E1117" s="342">
        <f t="shared" si="59"/>
        <v>15</v>
      </c>
      <c r="F1117" s="342"/>
      <c r="G1117" s="336">
        <v>1474672.57311935</v>
      </c>
      <c r="H1117" s="336">
        <f t="shared" si="60"/>
        <v>22120088.59679025</v>
      </c>
      <c r="I1117" s="336">
        <f t="shared" si="61"/>
        <v>22120088.59679025</v>
      </c>
      <c r="J1117" s="336"/>
    </row>
    <row r="1118" spans="1:10" ht="33">
      <c r="A1118" s="305">
        <v>3</v>
      </c>
      <c r="B1118" s="347" t="s">
        <v>685</v>
      </c>
      <c r="C1118" s="343" t="s">
        <v>648</v>
      </c>
      <c r="D1118" s="343">
        <v>2.64</v>
      </c>
      <c r="E1118" s="342">
        <f t="shared" si="59"/>
        <v>2.64</v>
      </c>
      <c r="F1118" s="342"/>
      <c r="G1118" s="336">
        <v>899905.11765252997</v>
      </c>
      <c r="H1118" s="336">
        <f t="shared" si="60"/>
        <v>2375749.5106026791</v>
      </c>
      <c r="I1118" s="336">
        <f t="shared" si="61"/>
        <v>2375749.5106026791</v>
      </c>
      <c r="J1118" s="336"/>
    </row>
    <row r="1119" spans="1:10" ht="33">
      <c r="A1119" s="305">
        <v>4</v>
      </c>
      <c r="B1119" s="350" t="s">
        <v>674</v>
      </c>
      <c r="C1119" s="343" t="s">
        <v>673</v>
      </c>
      <c r="D1119" s="343">
        <v>10.366</v>
      </c>
      <c r="E1119" s="342">
        <f t="shared" si="59"/>
        <v>10.366</v>
      </c>
      <c r="F1119" s="342"/>
      <c r="G1119" s="336">
        <v>1529682.3735028584</v>
      </c>
      <c r="H1119" s="336">
        <f t="shared" si="60"/>
        <v>15856687.483730631</v>
      </c>
      <c r="I1119" s="336">
        <f t="shared" si="61"/>
        <v>15856687.483730631</v>
      </c>
      <c r="J1119" s="336"/>
    </row>
    <row r="1120" spans="1:10">
      <c r="A1120" s="305">
        <v>5</v>
      </c>
      <c r="B1120" s="346" t="s">
        <v>681</v>
      </c>
      <c r="C1120" s="343" t="s">
        <v>332</v>
      </c>
      <c r="D1120" s="343">
        <v>7.0000000000000001E-3</v>
      </c>
      <c r="E1120" s="342">
        <f t="shared" si="59"/>
        <v>7.0000000000000001E-3</v>
      </c>
      <c r="F1120" s="342"/>
      <c r="G1120" s="336">
        <v>21494655.677628208</v>
      </c>
      <c r="H1120" s="336">
        <f t="shared" si="60"/>
        <v>150462.58974339746</v>
      </c>
      <c r="I1120" s="336">
        <f t="shared" si="61"/>
        <v>150462.58974339746</v>
      </c>
      <c r="J1120" s="336"/>
    </row>
    <row r="1121" spans="1:10">
      <c r="A1121" s="305">
        <v>6</v>
      </c>
      <c r="B1121" s="346" t="s">
        <v>680</v>
      </c>
      <c r="C1121" s="343" t="s">
        <v>652</v>
      </c>
      <c r="D1121" s="343">
        <v>0.30299999999999999</v>
      </c>
      <c r="E1121" s="342">
        <f t="shared" si="59"/>
        <v>0.30299999999999999</v>
      </c>
      <c r="F1121" s="342"/>
      <c r="G1121" s="336">
        <v>624240.56158024003</v>
      </c>
      <c r="H1121" s="336">
        <f t="shared" si="60"/>
        <v>189144.89015881272</v>
      </c>
      <c r="I1121" s="336">
        <f t="shared" si="61"/>
        <v>189144.89015881272</v>
      </c>
      <c r="J1121" s="336"/>
    </row>
    <row r="1122" spans="1:10">
      <c r="A1122" s="305">
        <v>7</v>
      </c>
      <c r="B1122" s="346" t="s">
        <v>679</v>
      </c>
      <c r="C1122" s="343" t="s">
        <v>334</v>
      </c>
      <c r="D1122" s="343">
        <v>0.159</v>
      </c>
      <c r="E1122" s="342">
        <f t="shared" si="59"/>
        <v>0.159</v>
      </c>
      <c r="F1122" s="342"/>
      <c r="G1122" s="336">
        <v>860812.82264923002</v>
      </c>
      <c r="H1122" s="336">
        <f t="shared" si="60"/>
        <v>136869.23880122756</v>
      </c>
      <c r="I1122" s="336">
        <f t="shared" si="61"/>
        <v>136869.23880122756</v>
      </c>
      <c r="J1122" s="336"/>
    </row>
    <row r="1123" spans="1:10">
      <c r="A1123" s="305">
        <v>8</v>
      </c>
      <c r="B1123" s="346" t="s">
        <v>678</v>
      </c>
      <c r="C1123" s="343" t="s">
        <v>673</v>
      </c>
      <c r="D1123" s="343">
        <v>10.366</v>
      </c>
      <c r="E1123" s="342">
        <f t="shared" si="59"/>
        <v>10.366</v>
      </c>
      <c r="F1123" s="342"/>
      <c r="G1123" s="336">
        <v>349025.21381664078</v>
      </c>
      <c r="H1123" s="336">
        <f t="shared" si="60"/>
        <v>3617995.3664232981</v>
      </c>
      <c r="I1123" s="336">
        <f t="shared" si="61"/>
        <v>3617995.3664232981</v>
      </c>
      <c r="J1123" s="336"/>
    </row>
    <row r="1124" spans="1:10">
      <c r="A1124" s="305">
        <v>9</v>
      </c>
      <c r="B1124" s="346" t="s">
        <v>677</v>
      </c>
      <c r="C1124" s="343" t="s">
        <v>334</v>
      </c>
      <c r="D1124" s="343">
        <v>0.159</v>
      </c>
      <c r="E1124" s="342">
        <f t="shared" si="59"/>
        <v>0.159</v>
      </c>
      <c r="F1124" s="342"/>
      <c r="G1124" s="336">
        <v>860812.82264923002</v>
      </c>
      <c r="H1124" s="336">
        <f t="shared" si="60"/>
        <v>136869.23880122756</v>
      </c>
      <c r="I1124" s="336">
        <f t="shared" si="61"/>
        <v>136869.23880122756</v>
      </c>
      <c r="J1124" s="336"/>
    </row>
    <row r="1125" spans="1:10" ht="33">
      <c r="A1125" s="305">
        <v>10</v>
      </c>
      <c r="B1125" s="350" t="s">
        <v>676</v>
      </c>
      <c r="C1125" s="343" t="s">
        <v>334</v>
      </c>
      <c r="D1125" s="343">
        <v>4.1559999999999997</v>
      </c>
      <c r="E1125" s="342">
        <f t="shared" si="59"/>
        <v>4.1559999999999997</v>
      </c>
      <c r="F1125" s="342"/>
      <c r="G1125" s="336">
        <v>860812.82264923002</v>
      </c>
      <c r="H1125" s="336">
        <f t="shared" si="60"/>
        <v>3577538.0909301997</v>
      </c>
      <c r="I1125" s="336">
        <f t="shared" si="61"/>
        <v>3577538.0909301997</v>
      </c>
      <c r="J1125" s="336"/>
    </row>
    <row r="1126" spans="1:10">
      <c r="A1126" s="305">
        <v>11</v>
      </c>
      <c r="B1126" s="348" t="s">
        <v>675</v>
      </c>
      <c r="C1126" s="343" t="s">
        <v>334</v>
      </c>
      <c r="D1126" s="343">
        <v>0.90500000000000003</v>
      </c>
      <c r="E1126" s="342">
        <f t="shared" si="59"/>
        <v>0.90500000000000003</v>
      </c>
      <c r="F1126" s="342"/>
      <c r="G1126" s="336">
        <v>2826999.5248147398</v>
      </c>
      <c r="H1126" s="336">
        <f t="shared" si="60"/>
        <v>2558434.5699573397</v>
      </c>
      <c r="I1126" s="336">
        <f t="shared" si="61"/>
        <v>2558434.5699573397</v>
      </c>
      <c r="J1126" s="336"/>
    </row>
    <row r="1127" spans="1:10" ht="33">
      <c r="A1127" s="305">
        <v>12</v>
      </c>
      <c r="B1127" s="346" t="s">
        <v>674</v>
      </c>
      <c r="C1127" s="343" t="s">
        <v>673</v>
      </c>
      <c r="D1127" s="343">
        <v>77.679000000000002</v>
      </c>
      <c r="E1127" s="342">
        <f t="shared" si="59"/>
        <v>77.679000000000002</v>
      </c>
      <c r="F1127" s="342"/>
      <c r="G1127" s="336">
        <v>1529682.3735028584</v>
      </c>
      <c r="H1127" s="336">
        <f t="shared" si="60"/>
        <v>118824197.09132855</v>
      </c>
      <c r="I1127" s="336">
        <f t="shared" si="61"/>
        <v>118824197.09132855</v>
      </c>
      <c r="J1127" s="336"/>
    </row>
    <row r="1128" spans="1:10">
      <c r="A1128" s="305">
        <v>13</v>
      </c>
      <c r="B1128" s="346" t="s">
        <v>672</v>
      </c>
      <c r="C1128" s="343" t="s">
        <v>648</v>
      </c>
      <c r="D1128" s="343">
        <v>1.782</v>
      </c>
      <c r="E1128" s="342">
        <f t="shared" si="59"/>
        <v>1.782</v>
      </c>
      <c r="F1128" s="342"/>
      <c r="G1128" s="336">
        <v>264716.76676511002</v>
      </c>
      <c r="H1128" s="336">
        <f t="shared" si="60"/>
        <v>471725.27837542607</v>
      </c>
      <c r="I1128" s="336">
        <f t="shared" si="61"/>
        <v>471725.27837542607</v>
      </c>
      <c r="J1128" s="336"/>
    </row>
    <row r="1129" spans="1:10" ht="33">
      <c r="A1129" s="305">
        <v>14</v>
      </c>
      <c r="B1129" s="347" t="s">
        <v>671</v>
      </c>
      <c r="C1129" s="343" t="s">
        <v>648</v>
      </c>
      <c r="D1129" s="343">
        <v>1.782</v>
      </c>
      <c r="E1129" s="342">
        <f t="shared" si="59"/>
        <v>1.782</v>
      </c>
      <c r="F1129" s="342"/>
      <c r="G1129" s="336">
        <v>1740640.09865394</v>
      </c>
      <c r="H1129" s="336">
        <f t="shared" si="60"/>
        <v>3101820.6558013214</v>
      </c>
      <c r="I1129" s="336">
        <f t="shared" si="61"/>
        <v>3101820.6558013214</v>
      </c>
      <c r="J1129" s="336"/>
    </row>
    <row r="1130" spans="1:10">
      <c r="A1130" s="305">
        <v>15</v>
      </c>
      <c r="B1130" s="346" t="s">
        <v>670</v>
      </c>
      <c r="C1130" s="343" t="s">
        <v>648</v>
      </c>
      <c r="D1130" s="343">
        <v>18.687999999999999</v>
      </c>
      <c r="E1130" s="342">
        <f t="shared" si="59"/>
        <v>18.687999999999999</v>
      </c>
      <c r="F1130" s="342"/>
      <c r="G1130" s="336">
        <v>1822204.6573975198</v>
      </c>
      <c r="H1130" s="336">
        <f t="shared" si="60"/>
        <v>34053360.637444846</v>
      </c>
      <c r="I1130" s="336">
        <f t="shared" si="61"/>
        <v>34053360.637444846</v>
      </c>
      <c r="J1130" s="336"/>
    </row>
    <row r="1131" spans="1:10" ht="33">
      <c r="A1131" s="305">
        <v>16</v>
      </c>
      <c r="B1131" s="346" t="s">
        <v>669</v>
      </c>
      <c r="C1131" s="343" t="s">
        <v>652</v>
      </c>
      <c r="D1131" s="343">
        <v>0.19400000000000001</v>
      </c>
      <c r="E1131" s="342">
        <f t="shared" si="59"/>
        <v>0.19400000000000001</v>
      </c>
      <c r="F1131" s="342"/>
      <c r="G1131" s="336">
        <v>15106692.40168187</v>
      </c>
      <c r="H1131" s="336">
        <f t="shared" si="60"/>
        <v>2930698.3259262829</v>
      </c>
      <c r="I1131" s="336">
        <f t="shared" si="61"/>
        <v>2930698.3259262829</v>
      </c>
      <c r="J1131" s="336"/>
    </row>
    <row r="1132" spans="1:10" ht="33">
      <c r="A1132" s="305">
        <v>17</v>
      </c>
      <c r="B1132" s="346" t="s">
        <v>668</v>
      </c>
      <c r="C1132" s="343" t="s">
        <v>332</v>
      </c>
      <c r="D1132" s="343">
        <v>0.65100000000000002</v>
      </c>
      <c r="E1132" s="342">
        <f t="shared" si="59"/>
        <v>0.65100000000000002</v>
      </c>
      <c r="F1132" s="342"/>
      <c r="G1132" s="336">
        <v>21747384.383930594</v>
      </c>
      <c r="H1132" s="336">
        <f t="shared" si="60"/>
        <v>14157547.233938817</v>
      </c>
      <c r="I1132" s="336">
        <f t="shared" si="61"/>
        <v>14157547.233938817</v>
      </c>
      <c r="J1132" s="336"/>
    </row>
    <row r="1133" spans="1:10" ht="33">
      <c r="A1133" s="305">
        <v>18</v>
      </c>
      <c r="B1133" s="346" t="s">
        <v>667</v>
      </c>
      <c r="C1133" s="343" t="s">
        <v>648</v>
      </c>
      <c r="D1133" s="343">
        <v>4.5750000000000002</v>
      </c>
      <c r="E1133" s="342">
        <f t="shared" si="59"/>
        <v>4.5750000000000002</v>
      </c>
      <c r="F1133" s="342"/>
      <c r="G1133" s="336">
        <v>2832559.8045584401</v>
      </c>
      <c r="H1133" s="336">
        <f t="shared" si="60"/>
        <v>12958961.105854863</v>
      </c>
      <c r="I1133" s="336">
        <f t="shared" si="61"/>
        <v>12958961.105854863</v>
      </c>
      <c r="J1133" s="336"/>
    </row>
    <row r="1134" spans="1:10">
      <c r="A1134" s="305">
        <v>19</v>
      </c>
      <c r="B1134" s="346" t="s">
        <v>666</v>
      </c>
      <c r="C1134" s="343" t="s">
        <v>652</v>
      </c>
      <c r="D1134" s="343">
        <v>0.375</v>
      </c>
      <c r="E1134" s="342">
        <f t="shared" si="59"/>
        <v>0.375</v>
      </c>
      <c r="F1134" s="342"/>
      <c r="G1134" s="336">
        <v>10285864.162557829</v>
      </c>
      <c r="H1134" s="336">
        <f t="shared" si="60"/>
        <v>3857199.0609591859</v>
      </c>
      <c r="I1134" s="336">
        <f t="shared" si="61"/>
        <v>3857199.0609591859</v>
      </c>
      <c r="J1134" s="336"/>
    </row>
    <row r="1135" spans="1:10" ht="33">
      <c r="A1135" s="305">
        <v>20</v>
      </c>
      <c r="B1135" s="346" t="s">
        <v>665</v>
      </c>
      <c r="C1135" s="343" t="s">
        <v>332</v>
      </c>
      <c r="D1135" s="343">
        <v>0.54100000000000004</v>
      </c>
      <c r="E1135" s="342">
        <f t="shared" si="59"/>
        <v>0.54100000000000004</v>
      </c>
      <c r="F1135" s="342"/>
      <c r="G1135" s="336">
        <v>22364722.655141901</v>
      </c>
      <c r="H1135" s="336">
        <f t="shared" si="60"/>
        <v>12099314.956431769</v>
      </c>
      <c r="I1135" s="336">
        <f t="shared" si="61"/>
        <v>12099314.956431769</v>
      </c>
      <c r="J1135" s="336"/>
    </row>
    <row r="1136" spans="1:10">
      <c r="A1136" s="305">
        <v>21</v>
      </c>
      <c r="B1136" s="345" t="s">
        <v>664</v>
      </c>
      <c r="C1136" s="343" t="s">
        <v>648</v>
      </c>
      <c r="D1136" s="343">
        <v>2.504</v>
      </c>
      <c r="E1136" s="342">
        <f t="shared" si="59"/>
        <v>2.504</v>
      </c>
      <c r="F1136" s="342"/>
      <c r="G1136" s="336">
        <v>2103564.5459600198</v>
      </c>
      <c r="H1136" s="336">
        <f t="shared" si="60"/>
        <v>5267325.6230838895</v>
      </c>
      <c r="I1136" s="336">
        <f t="shared" si="61"/>
        <v>5267325.6230838895</v>
      </c>
      <c r="J1136" s="336"/>
    </row>
    <row r="1137" spans="1:10" ht="33">
      <c r="A1137" s="305">
        <v>22</v>
      </c>
      <c r="B1137" s="346" t="s">
        <v>663</v>
      </c>
      <c r="C1137" s="343" t="s">
        <v>106</v>
      </c>
      <c r="D1137" s="343">
        <v>9.2999999999999999E-2</v>
      </c>
      <c r="E1137" s="342">
        <f t="shared" si="59"/>
        <v>9.2999999999999999E-2</v>
      </c>
      <c r="F1137" s="342"/>
      <c r="G1137" s="336">
        <v>26779944.912297059</v>
      </c>
      <c r="H1137" s="336">
        <f t="shared" si="60"/>
        <v>2490534.8768436266</v>
      </c>
      <c r="I1137" s="336">
        <f t="shared" si="61"/>
        <v>2490534.8768436266</v>
      </c>
      <c r="J1137" s="336"/>
    </row>
    <row r="1138" spans="1:10" ht="33">
      <c r="A1138" s="305">
        <v>23</v>
      </c>
      <c r="B1138" s="346" t="s">
        <v>662</v>
      </c>
      <c r="C1138" s="343" t="s">
        <v>596</v>
      </c>
      <c r="D1138" s="343">
        <v>5</v>
      </c>
      <c r="E1138" s="342">
        <f t="shared" si="59"/>
        <v>5</v>
      </c>
      <c r="F1138" s="342"/>
      <c r="G1138" s="336">
        <v>10937379.295476042</v>
      </c>
      <c r="H1138" s="336">
        <f t="shared" si="60"/>
        <v>54686896.477380209</v>
      </c>
      <c r="I1138" s="336">
        <f t="shared" si="61"/>
        <v>54686896.477380209</v>
      </c>
      <c r="J1138" s="336"/>
    </row>
    <row r="1139" spans="1:10" ht="33">
      <c r="A1139" s="305">
        <v>24</v>
      </c>
      <c r="B1139" s="346" t="s">
        <v>661</v>
      </c>
      <c r="C1139" s="343" t="s">
        <v>660</v>
      </c>
      <c r="D1139" s="343">
        <v>4</v>
      </c>
      <c r="E1139" s="342">
        <f t="shared" si="59"/>
        <v>4</v>
      </c>
      <c r="F1139" s="342"/>
      <c r="G1139" s="336">
        <v>191119.10337420998</v>
      </c>
      <c r="H1139" s="336">
        <f t="shared" si="60"/>
        <v>764476.41349683993</v>
      </c>
      <c r="I1139" s="336">
        <f t="shared" si="61"/>
        <v>764476.41349683993</v>
      </c>
      <c r="J1139" s="336"/>
    </row>
    <row r="1140" spans="1:10">
      <c r="A1140" s="305">
        <v>25</v>
      </c>
      <c r="B1140" s="346" t="s">
        <v>659</v>
      </c>
      <c r="C1140" s="343" t="s">
        <v>652</v>
      </c>
      <c r="D1140" s="343">
        <v>1.0229999999999999</v>
      </c>
      <c r="E1140" s="342">
        <f t="shared" si="59"/>
        <v>1.0229999999999999</v>
      </c>
      <c r="F1140" s="342"/>
      <c r="G1140" s="336">
        <v>3378321.3368108603</v>
      </c>
      <c r="H1140" s="336">
        <f t="shared" si="60"/>
        <v>3456022.7275575097</v>
      </c>
      <c r="I1140" s="336">
        <f t="shared" si="61"/>
        <v>3456022.7275575097</v>
      </c>
      <c r="J1140" s="336"/>
    </row>
    <row r="1141" spans="1:10">
      <c r="A1141" s="305">
        <v>26</v>
      </c>
      <c r="B1141" s="346" t="s">
        <v>658</v>
      </c>
      <c r="C1141" s="343" t="s">
        <v>657</v>
      </c>
      <c r="D1141" s="343">
        <v>51.04</v>
      </c>
      <c r="E1141" s="342">
        <f t="shared" si="59"/>
        <v>51.04</v>
      </c>
      <c r="F1141" s="342"/>
      <c r="G1141" s="336">
        <v>1359342.3943654499</v>
      </c>
      <c r="H1141" s="336">
        <f t="shared" si="60"/>
        <v>69380835.808412567</v>
      </c>
      <c r="I1141" s="336">
        <f t="shared" si="61"/>
        <v>69380835.808412567</v>
      </c>
      <c r="J1141" s="336"/>
    </row>
    <row r="1142" spans="1:10">
      <c r="A1142" s="305">
        <v>27</v>
      </c>
      <c r="B1142" s="345" t="s">
        <v>656</v>
      </c>
      <c r="C1142" s="343" t="s">
        <v>30</v>
      </c>
      <c r="D1142" s="343">
        <v>0.28799999999999998</v>
      </c>
      <c r="E1142" s="342">
        <f t="shared" si="59"/>
        <v>0.28799999999999998</v>
      </c>
      <c r="F1142" s="342"/>
      <c r="G1142" s="336">
        <v>548952.91382084996</v>
      </c>
      <c r="H1142" s="336">
        <f t="shared" si="60"/>
        <v>158098.43918040479</v>
      </c>
      <c r="I1142" s="336">
        <f t="shared" si="61"/>
        <v>158098.43918040479</v>
      </c>
      <c r="J1142" s="336"/>
    </row>
    <row r="1143" spans="1:10" ht="33">
      <c r="A1143" s="305">
        <v>28</v>
      </c>
      <c r="B1143" s="346" t="s">
        <v>684</v>
      </c>
      <c r="C1143" s="343" t="s">
        <v>334</v>
      </c>
      <c r="D1143" s="343">
        <v>0.02</v>
      </c>
      <c r="E1143" s="342">
        <f t="shared" si="59"/>
        <v>0.02</v>
      </c>
      <c r="F1143" s="342"/>
      <c r="G1143" s="336">
        <v>81252240.142090052</v>
      </c>
      <c r="H1143" s="336">
        <f t="shared" si="60"/>
        <v>1625044.8028418012</v>
      </c>
      <c r="I1143" s="336">
        <f t="shared" si="61"/>
        <v>1625044.8028418012</v>
      </c>
      <c r="J1143" s="336"/>
    </row>
    <row r="1144" spans="1:10">
      <c r="A1144" s="305">
        <v>29</v>
      </c>
      <c r="B1144" s="346" t="s">
        <v>655</v>
      </c>
      <c r="C1144" s="343" t="s">
        <v>341</v>
      </c>
      <c r="D1144" s="343">
        <v>16</v>
      </c>
      <c r="E1144" s="342">
        <f t="shared" si="59"/>
        <v>16</v>
      </c>
      <c r="F1144" s="342"/>
      <c r="G1144" s="336">
        <v>101501.26418784</v>
      </c>
      <c r="H1144" s="336">
        <f t="shared" si="60"/>
        <v>1624020.22700544</v>
      </c>
      <c r="I1144" s="336">
        <f t="shared" si="61"/>
        <v>1624020.22700544</v>
      </c>
      <c r="J1144" s="336"/>
    </row>
    <row r="1145" spans="1:10" ht="33">
      <c r="A1145" s="305">
        <v>30</v>
      </c>
      <c r="B1145" s="346" t="s">
        <v>654</v>
      </c>
      <c r="C1145" s="343" t="s">
        <v>648</v>
      </c>
      <c r="D1145" s="343">
        <v>0.3</v>
      </c>
      <c r="E1145" s="342">
        <f t="shared" si="59"/>
        <v>0.3</v>
      </c>
      <c r="F1145" s="342"/>
      <c r="G1145" s="336">
        <v>2679391.7396449498</v>
      </c>
      <c r="H1145" s="336">
        <f t="shared" si="60"/>
        <v>803817.52189348487</v>
      </c>
      <c r="I1145" s="336">
        <f t="shared" si="61"/>
        <v>803817.52189348487</v>
      </c>
      <c r="J1145" s="336"/>
    </row>
    <row r="1146" spans="1:10" ht="49.5">
      <c r="A1146" s="305">
        <v>31</v>
      </c>
      <c r="B1146" s="347" t="s">
        <v>653</v>
      </c>
      <c r="C1146" s="343" t="s">
        <v>652</v>
      </c>
      <c r="D1146" s="343">
        <v>5.3999999999999999E-2</v>
      </c>
      <c r="E1146" s="342">
        <f t="shared" si="59"/>
        <v>5.3999999999999999E-2</v>
      </c>
      <c r="F1146" s="342"/>
      <c r="G1146" s="336">
        <v>16838348.450964369</v>
      </c>
      <c r="H1146" s="336">
        <f t="shared" si="60"/>
        <v>909270.8163520759</v>
      </c>
      <c r="I1146" s="336">
        <f t="shared" si="61"/>
        <v>909270.8163520759</v>
      </c>
      <c r="J1146" s="336"/>
    </row>
    <row r="1147" spans="1:10" ht="33">
      <c r="A1147" s="305">
        <v>32</v>
      </c>
      <c r="B1147" s="346" t="s">
        <v>651</v>
      </c>
      <c r="C1147" s="343" t="s">
        <v>332</v>
      </c>
      <c r="D1147" s="343">
        <v>0.01</v>
      </c>
      <c r="E1147" s="342">
        <f t="shared" si="59"/>
        <v>0.01</v>
      </c>
      <c r="F1147" s="342"/>
      <c r="G1147" s="336">
        <v>22271236.953963142</v>
      </c>
      <c r="H1147" s="336">
        <f t="shared" si="60"/>
        <v>222712.36953963141</v>
      </c>
      <c r="I1147" s="336">
        <f t="shared" si="61"/>
        <v>222712.36953963141</v>
      </c>
      <c r="J1147" s="336"/>
    </row>
    <row r="1148" spans="1:10" ht="33">
      <c r="A1148" s="305">
        <v>33</v>
      </c>
      <c r="B1148" s="346" t="s">
        <v>650</v>
      </c>
      <c r="C1148" s="343" t="s">
        <v>332</v>
      </c>
      <c r="D1148" s="343">
        <v>2.8000000000000001E-2</v>
      </c>
      <c r="E1148" s="342">
        <f t="shared" si="59"/>
        <v>2.8000000000000001E-2</v>
      </c>
      <c r="F1148" s="342"/>
      <c r="G1148" s="336">
        <v>22143203.30019743</v>
      </c>
      <c r="H1148" s="336">
        <f t="shared" si="60"/>
        <v>620009.69240552804</v>
      </c>
      <c r="I1148" s="336">
        <f t="shared" si="61"/>
        <v>620009.69240552804</v>
      </c>
      <c r="J1148" s="336"/>
    </row>
    <row r="1149" spans="1:10">
      <c r="A1149" s="305">
        <v>34</v>
      </c>
      <c r="B1149" s="346" t="s">
        <v>649</v>
      </c>
      <c r="C1149" s="343" t="s">
        <v>648</v>
      </c>
      <c r="D1149" s="343">
        <v>0.114</v>
      </c>
      <c r="E1149" s="342">
        <f t="shared" si="59"/>
        <v>0.114</v>
      </c>
      <c r="F1149" s="342"/>
      <c r="G1149" s="336">
        <v>30749640.32562983</v>
      </c>
      <c r="H1149" s="336">
        <f t="shared" si="60"/>
        <v>3505458.9971218007</v>
      </c>
      <c r="I1149" s="336">
        <f t="shared" si="61"/>
        <v>3505458.9971218007</v>
      </c>
      <c r="J1149" s="336"/>
    </row>
    <row r="1150" spans="1:10">
      <c r="A1150" s="305">
        <v>35</v>
      </c>
      <c r="B1150" s="346" t="s">
        <v>647</v>
      </c>
      <c r="C1150" s="343" t="s">
        <v>332</v>
      </c>
      <c r="D1150" s="343">
        <v>0.126</v>
      </c>
      <c r="E1150" s="342">
        <f t="shared" si="59"/>
        <v>0.126</v>
      </c>
      <c r="F1150" s="342"/>
      <c r="G1150" s="336">
        <v>30500718.64674934</v>
      </c>
      <c r="H1150" s="336">
        <f t="shared" si="60"/>
        <v>3843090.5494904169</v>
      </c>
      <c r="I1150" s="336">
        <f t="shared" si="61"/>
        <v>3843090.5494904169</v>
      </c>
      <c r="J1150" s="336"/>
    </row>
    <row r="1151" spans="1:10">
      <c r="A1151" s="305">
        <v>36</v>
      </c>
      <c r="B1151" s="346" t="s">
        <v>290</v>
      </c>
      <c r="C1151" s="343" t="s">
        <v>332</v>
      </c>
      <c r="D1151" s="343">
        <v>0.10199999999999999</v>
      </c>
      <c r="E1151" s="342">
        <f t="shared" si="59"/>
        <v>0.10199999999999999</v>
      </c>
      <c r="F1151" s="342"/>
      <c r="G1151" s="336">
        <v>19600014.080444928</v>
      </c>
      <c r="H1151" s="336">
        <f t="shared" si="60"/>
        <v>1999201.4362053825</v>
      </c>
      <c r="I1151" s="336">
        <f t="shared" si="61"/>
        <v>1999201.4362053825</v>
      </c>
      <c r="J1151" s="336"/>
    </row>
    <row r="1152" spans="1:10">
      <c r="A1152" s="305">
        <v>37</v>
      </c>
      <c r="B1152" s="346" t="s">
        <v>272</v>
      </c>
      <c r="C1152" s="343" t="s">
        <v>332</v>
      </c>
      <c r="D1152" s="343">
        <v>0.01</v>
      </c>
      <c r="E1152" s="342">
        <f t="shared" si="59"/>
        <v>0.01</v>
      </c>
      <c r="F1152" s="342"/>
      <c r="G1152" s="336">
        <v>19503911.276043262</v>
      </c>
      <c r="H1152" s="336">
        <f t="shared" si="60"/>
        <v>195039.11276043262</v>
      </c>
      <c r="I1152" s="336">
        <f t="shared" si="61"/>
        <v>195039.11276043262</v>
      </c>
      <c r="J1152" s="336"/>
    </row>
    <row r="1153" spans="1:10">
      <c r="A1153" s="305">
        <v>38</v>
      </c>
      <c r="B1153" s="346" t="s">
        <v>646</v>
      </c>
      <c r="C1153" s="343" t="s">
        <v>332</v>
      </c>
      <c r="D1153" s="343">
        <v>1.4E-2</v>
      </c>
      <c r="E1153" s="342">
        <f t="shared" si="59"/>
        <v>1.4E-2</v>
      </c>
      <c r="F1153" s="342"/>
      <c r="G1153" s="336">
        <v>82771864.596043259</v>
      </c>
      <c r="H1153" s="336">
        <f t="shared" si="60"/>
        <v>1158806.1043446057</v>
      </c>
      <c r="I1153" s="336">
        <f t="shared" si="61"/>
        <v>1158806.1043446057</v>
      </c>
      <c r="J1153" s="336"/>
    </row>
    <row r="1154" spans="1:10">
      <c r="A1154" s="305">
        <v>39</v>
      </c>
      <c r="B1154" s="346" t="s">
        <v>645</v>
      </c>
      <c r="C1154" s="343" t="s">
        <v>90</v>
      </c>
      <c r="D1154" s="343">
        <v>2.6</v>
      </c>
      <c r="E1154" s="342">
        <f t="shared" si="59"/>
        <v>2.6</v>
      </c>
      <c r="F1154" s="342"/>
      <c r="G1154" s="336">
        <v>83019.721669940016</v>
      </c>
      <c r="H1154" s="336">
        <f t="shared" si="60"/>
        <v>215851.27634184406</v>
      </c>
      <c r="I1154" s="336">
        <f t="shared" si="61"/>
        <v>215851.27634184406</v>
      </c>
      <c r="J1154" s="336"/>
    </row>
    <row r="1155" spans="1:10">
      <c r="A1155" s="305">
        <v>40</v>
      </c>
      <c r="B1155" s="346" t="s">
        <v>644</v>
      </c>
      <c r="C1155" s="343" t="s">
        <v>341</v>
      </c>
      <c r="D1155" s="343">
        <v>65</v>
      </c>
      <c r="E1155" s="342">
        <f t="shared" si="59"/>
        <v>65</v>
      </c>
      <c r="F1155" s="342"/>
      <c r="G1155" s="336">
        <v>5492.1450247399998</v>
      </c>
      <c r="H1155" s="336">
        <f t="shared" si="60"/>
        <v>356989.42660810001</v>
      </c>
      <c r="I1155" s="336">
        <f t="shared" si="61"/>
        <v>356989.42660810001</v>
      </c>
      <c r="J1155" s="336"/>
    </row>
    <row r="1156" spans="1:10">
      <c r="A1156" s="305">
        <v>41</v>
      </c>
      <c r="B1156" s="346" t="s">
        <v>643</v>
      </c>
      <c r="C1156" s="343" t="s">
        <v>341</v>
      </c>
      <c r="D1156" s="343">
        <v>8</v>
      </c>
      <c r="E1156" s="342">
        <f t="shared" si="59"/>
        <v>8</v>
      </c>
      <c r="F1156" s="342"/>
      <c r="G1156" s="336">
        <v>9762.731873839999</v>
      </c>
      <c r="H1156" s="336">
        <f t="shared" si="60"/>
        <v>78101.854990719992</v>
      </c>
      <c r="I1156" s="336">
        <f t="shared" si="61"/>
        <v>78101.854990719992</v>
      </c>
      <c r="J1156" s="336"/>
    </row>
    <row r="1157" spans="1:10" ht="33">
      <c r="A1157" s="305">
        <v>42</v>
      </c>
      <c r="B1157" s="346" t="s">
        <v>642</v>
      </c>
      <c r="C1157" s="343" t="s">
        <v>332</v>
      </c>
      <c r="D1157" s="343">
        <v>0.126</v>
      </c>
      <c r="E1157" s="342">
        <f t="shared" si="59"/>
        <v>0.126</v>
      </c>
      <c r="F1157" s="342"/>
      <c r="G1157" s="336">
        <v>5330870.1449616794</v>
      </c>
      <c r="H1157" s="336">
        <f t="shared" si="60"/>
        <v>671689.63826517155</v>
      </c>
      <c r="I1157" s="336">
        <f t="shared" si="61"/>
        <v>671689.63826517155</v>
      </c>
      <c r="J1157" s="336"/>
    </row>
    <row r="1158" spans="1:10">
      <c r="A1158" s="305">
        <v>43</v>
      </c>
      <c r="B1158" s="345" t="s">
        <v>641</v>
      </c>
      <c r="C1158" s="343" t="s">
        <v>341</v>
      </c>
      <c r="D1158" s="343">
        <v>4</v>
      </c>
      <c r="E1158" s="342">
        <f t="shared" si="59"/>
        <v>4</v>
      </c>
      <c r="F1158" s="342"/>
      <c r="G1158" s="336">
        <v>18305.122263450001</v>
      </c>
      <c r="H1158" s="336">
        <f t="shared" si="60"/>
        <v>73220.489053800004</v>
      </c>
      <c r="I1158" s="336">
        <f t="shared" si="61"/>
        <v>73220.489053800004</v>
      </c>
      <c r="J1158" s="336"/>
    </row>
    <row r="1159" spans="1:10">
      <c r="A1159" s="305">
        <v>44</v>
      </c>
      <c r="B1159" s="345" t="s">
        <v>640</v>
      </c>
      <c r="C1159" s="343" t="s">
        <v>90</v>
      </c>
      <c r="D1159" s="343">
        <v>7.8</v>
      </c>
      <c r="E1159" s="342">
        <f t="shared" si="59"/>
        <v>7.8</v>
      </c>
      <c r="F1159" s="342"/>
      <c r="G1159" s="336">
        <v>24406.829684599998</v>
      </c>
      <c r="H1159" s="336">
        <f t="shared" si="60"/>
        <v>190373.27153987996</v>
      </c>
      <c r="I1159" s="336">
        <f t="shared" si="61"/>
        <v>190373.27153987996</v>
      </c>
      <c r="J1159" s="336"/>
    </row>
    <row r="1160" spans="1:10" ht="28.5" customHeight="1">
      <c r="A1160" s="354"/>
      <c r="B1160" s="353" t="s">
        <v>683</v>
      </c>
      <c r="C1160" s="352"/>
      <c r="D1160" s="340"/>
      <c r="E1160" s="342">
        <f>D1160*$E$7</f>
        <v>0</v>
      </c>
      <c r="F1160" s="342">
        <f>D1160*$F$7</f>
        <v>0</v>
      </c>
      <c r="G1160" s="336"/>
      <c r="H1160" s="338">
        <f>SUM(H1161:H1202)</f>
        <v>399330098.0935275</v>
      </c>
      <c r="I1160" s="338">
        <f>SUM(I1161:I1202)</f>
        <v>399330098.0935275</v>
      </c>
      <c r="J1160" s="336"/>
    </row>
    <row r="1161" spans="1:10" ht="33">
      <c r="A1161" s="305">
        <v>1</v>
      </c>
      <c r="B1161" s="351" t="s">
        <v>333</v>
      </c>
      <c r="C1161" s="343" t="s">
        <v>652</v>
      </c>
      <c r="D1161" s="343">
        <v>400</v>
      </c>
      <c r="E1161" s="342">
        <f t="shared" ref="E1161:E1202" si="62">D1161</f>
        <v>400</v>
      </c>
      <c r="F1161" s="342"/>
      <c r="G1161" s="336">
        <v>84124.477470219994</v>
      </c>
      <c r="H1161" s="336">
        <f t="shared" ref="H1161:H1202" si="63">D1161*G1161</f>
        <v>33649790.988087997</v>
      </c>
      <c r="I1161" s="336">
        <f t="shared" ref="I1161:I1202" si="64">E1161*G1161</f>
        <v>33649790.988087997</v>
      </c>
      <c r="J1161" s="336"/>
    </row>
    <row r="1162" spans="1:10" ht="33">
      <c r="A1162" s="305">
        <v>2</v>
      </c>
      <c r="B1162" s="347" t="s">
        <v>682</v>
      </c>
      <c r="C1162" s="343" t="s">
        <v>648</v>
      </c>
      <c r="D1162" s="343">
        <v>15</v>
      </c>
      <c r="E1162" s="342">
        <f t="shared" si="62"/>
        <v>15</v>
      </c>
      <c r="F1162" s="342"/>
      <c r="G1162" s="336">
        <v>1493648.0923497099</v>
      </c>
      <c r="H1162" s="336">
        <f t="shared" si="63"/>
        <v>22404721.385245651</v>
      </c>
      <c r="I1162" s="336">
        <f t="shared" si="64"/>
        <v>22404721.385245651</v>
      </c>
      <c r="J1162" s="336"/>
    </row>
    <row r="1163" spans="1:10" ht="33">
      <c r="A1163" s="305">
        <v>3</v>
      </c>
      <c r="B1163" s="350" t="s">
        <v>674</v>
      </c>
      <c r="C1163" s="343" t="s">
        <v>673</v>
      </c>
      <c r="D1163" s="343">
        <v>29.053999999999998</v>
      </c>
      <c r="E1163" s="342">
        <f t="shared" si="62"/>
        <v>29.053999999999998</v>
      </c>
      <c r="F1163" s="342"/>
      <c r="G1163" s="336">
        <v>1533604.1673832727</v>
      </c>
      <c r="H1163" s="336">
        <f t="shared" si="63"/>
        <v>44557335.479153603</v>
      </c>
      <c r="I1163" s="336">
        <f t="shared" si="64"/>
        <v>44557335.479153603</v>
      </c>
      <c r="J1163" s="336"/>
    </row>
    <row r="1164" spans="1:10">
      <c r="A1164" s="305">
        <v>4</v>
      </c>
      <c r="B1164" s="346" t="s">
        <v>681</v>
      </c>
      <c r="C1164" s="343" t="s">
        <v>332</v>
      </c>
      <c r="D1164" s="343">
        <v>2.1000000000000001E-2</v>
      </c>
      <c r="E1164" s="342">
        <f t="shared" si="62"/>
        <v>2.1000000000000001E-2</v>
      </c>
      <c r="F1164" s="342"/>
      <c r="G1164" s="336">
        <v>21494655.677628208</v>
      </c>
      <c r="H1164" s="336">
        <f t="shared" si="63"/>
        <v>451387.76923019241</v>
      </c>
      <c r="I1164" s="336">
        <f t="shared" si="64"/>
        <v>451387.76923019241</v>
      </c>
      <c r="J1164" s="336"/>
    </row>
    <row r="1165" spans="1:10">
      <c r="A1165" s="305">
        <v>5</v>
      </c>
      <c r="B1165" s="346" t="s">
        <v>680</v>
      </c>
      <c r="C1165" s="343" t="s">
        <v>332</v>
      </c>
      <c r="D1165" s="343">
        <v>0.66600000000000004</v>
      </c>
      <c r="E1165" s="342">
        <f t="shared" si="62"/>
        <v>0.66600000000000004</v>
      </c>
      <c r="F1165" s="342"/>
      <c r="G1165" s="336">
        <v>624240.56158024003</v>
      </c>
      <c r="H1165" s="336">
        <f t="shared" si="63"/>
        <v>415744.21401243989</v>
      </c>
      <c r="I1165" s="336">
        <f t="shared" si="64"/>
        <v>415744.21401243989</v>
      </c>
      <c r="J1165" s="336"/>
    </row>
    <row r="1166" spans="1:10">
      <c r="A1166" s="305">
        <v>6</v>
      </c>
      <c r="B1166" s="346" t="s">
        <v>679</v>
      </c>
      <c r="C1166" s="343" t="s">
        <v>334</v>
      </c>
      <c r="D1166" s="343">
        <v>0.28299999999999997</v>
      </c>
      <c r="E1166" s="342">
        <f t="shared" si="62"/>
        <v>0.28299999999999997</v>
      </c>
      <c r="F1166" s="342"/>
      <c r="G1166" s="336">
        <v>860812.82264923002</v>
      </c>
      <c r="H1166" s="336">
        <f t="shared" si="63"/>
        <v>243610.02880973206</v>
      </c>
      <c r="I1166" s="336">
        <f t="shared" si="64"/>
        <v>243610.02880973206</v>
      </c>
      <c r="J1166" s="336"/>
    </row>
    <row r="1167" spans="1:10">
      <c r="A1167" s="305">
        <v>7</v>
      </c>
      <c r="B1167" s="346" t="s">
        <v>678</v>
      </c>
      <c r="C1167" s="343" t="s">
        <v>673</v>
      </c>
      <c r="D1167" s="343">
        <v>29.053999999999998</v>
      </c>
      <c r="E1167" s="342">
        <f t="shared" si="62"/>
        <v>29.053999999999998</v>
      </c>
      <c r="F1167" s="342"/>
      <c r="G1167" s="336">
        <v>349025.21381664078</v>
      </c>
      <c r="H1167" s="336">
        <f t="shared" si="63"/>
        <v>10140578.562228682</v>
      </c>
      <c r="I1167" s="336">
        <f t="shared" si="64"/>
        <v>10140578.562228682</v>
      </c>
      <c r="J1167" s="336"/>
    </row>
    <row r="1168" spans="1:10">
      <c r="A1168" s="305">
        <v>8</v>
      </c>
      <c r="B1168" s="346" t="s">
        <v>677</v>
      </c>
      <c r="C1168" s="343" t="s">
        <v>334</v>
      </c>
      <c r="D1168" s="343">
        <v>0.28299999999999997</v>
      </c>
      <c r="E1168" s="342">
        <f t="shared" si="62"/>
        <v>0.28299999999999997</v>
      </c>
      <c r="F1168" s="342"/>
      <c r="G1168" s="336">
        <v>860812.82264923002</v>
      </c>
      <c r="H1168" s="336">
        <f t="shared" si="63"/>
        <v>243610.02880973206</v>
      </c>
      <c r="I1168" s="336">
        <f t="shared" si="64"/>
        <v>243610.02880973206</v>
      </c>
      <c r="J1168" s="336"/>
    </row>
    <row r="1169" spans="1:10" ht="33">
      <c r="A1169" s="305">
        <v>9</v>
      </c>
      <c r="B1169" s="349" t="s">
        <v>676</v>
      </c>
      <c r="C1169" s="343" t="s">
        <v>334</v>
      </c>
      <c r="D1169" s="343">
        <v>2.83</v>
      </c>
      <c r="E1169" s="342">
        <f t="shared" si="62"/>
        <v>2.83</v>
      </c>
      <c r="F1169" s="342"/>
      <c r="G1169" s="336">
        <v>860812.82264923002</v>
      </c>
      <c r="H1169" s="336">
        <f t="shared" si="63"/>
        <v>2436100.2880973211</v>
      </c>
      <c r="I1169" s="336">
        <f t="shared" si="64"/>
        <v>2436100.2880973211</v>
      </c>
      <c r="J1169" s="336"/>
    </row>
    <row r="1170" spans="1:10">
      <c r="A1170" s="305">
        <v>10</v>
      </c>
      <c r="B1170" s="348" t="s">
        <v>675</v>
      </c>
      <c r="C1170" s="343" t="s">
        <v>334</v>
      </c>
      <c r="D1170" s="343">
        <v>0.79300000000000004</v>
      </c>
      <c r="E1170" s="342">
        <f t="shared" si="62"/>
        <v>0.79300000000000004</v>
      </c>
      <c r="F1170" s="342"/>
      <c r="G1170" s="336">
        <v>2826999.5248147398</v>
      </c>
      <c r="H1170" s="336">
        <f t="shared" si="63"/>
        <v>2241810.6231780886</v>
      </c>
      <c r="I1170" s="336">
        <f t="shared" si="64"/>
        <v>2241810.6231780886</v>
      </c>
      <c r="J1170" s="336"/>
    </row>
    <row r="1171" spans="1:10" ht="33">
      <c r="A1171" s="305">
        <v>11</v>
      </c>
      <c r="B1171" s="346" t="s">
        <v>674</v>
      </c>
      <c r="C1171" s="343" t="s">
        <v>673</v>
      </c>
      <c r="D1171" s="343">
        <v>66.697000000000003</v>
      </c>
      <c r="E1171" s="342">
        <f t="shared" si="62"/>
        <v>66.697000000000003</v>
      </c>
      <c r="F1171" s="342"/>
      <c r="G1171" s="336">
        <v>1533604.1673832727</v>
      </c>
      <c r="H1171" s="336">
        <f t="shared" si="63"/>
        <v>102286797.15196215</v>
      </c>
      <c r="I1171" s="336">
        <f t="shared" si="64"/>
        <v>102286797.15196215</v>
      </c>
      <c r="J1171" s="336"/>
    </row>
    <row r="1172" spans="1:10">
      <c r="A1172" s="305">
        <v>12</v>
      </c>
      <c r="B1172" s="346" t="s">
        <v>672</v>
      </c>
      <c r="C1172" s="343" t="s">
        <v>648</v>
      </c>
      <c r="D1172" s="343">
        <v>1.3520000000000001</v>
      </c>
      <c r="E1172" s="342">
        <f t="shared" si="62"/>
        <v>1.3520000000000001</v>
      </c>
      <c r="F1172" s="342"/>
      <c r="G1172" s="336">
        <v>264716.76676511002</v>
      </c>
      <c r="H1172" s="336">
        <f t="shared" si="63"/>
        <v>357897.06866642879</v>
      </c>
      <c r="I1172" s="336">
        <f t="shared" si="64"/>
        <v>357897.06866642879</v>
      </c>
      <c r="J1172" s="336"/>
    </row>
    <row r="1173" spans="1:10" ht="33">
      <c r="A1173" s="305">
        <v>13</v>
      </c>
      <c r="B1173" s="347" t="s">
        <v>671</v>
      </c>
      <c r="C1173" s="343" t="s">
        <v>648</v>
      </c>
      <c r="D1173" s="343">
        <v>1.3520000000000001</v>
      </c>
      <c r="E1173" s="342">
        <f t="shared" si="62"/>
        <v>1.3520000000000001</v>
      </c>
      <c r="F1173" s="342"/>
      <c r="G1173" s="336">
        <v>1737072.75943982</v>
      </c>
      <c r="H1173" s="336">
        <f t="shared" si="63"/>
        <v>2348522.3707626369</v>
      </c>
      <c r="I1173" s="336">
        <f t="shared" si="64"/>
        <v>2348522.3707626369</v>
      </c>
      <c r="J1173" s="336"/>
    </row>
    <row r="1174" spans="1:10">
      <c r="A1174" s="305">
        <v>14</v>
      </c>
      <c r="B1174" s="346" t="s">
        <v>670</v>
      </c>
      <c r="C1174" s="343" t="s">
        <v>648</v>
      </c>
      <c r="D1174" s="343">
        <v>14.462</v>
      </c>
      <c r="E1174" s="342">
        <f t="shared" si="62"/>
        <v>14.462</v>
      </c>
      <c r="F1174" s="342"/>
      <c r="G1174" s="336">
        <v>1818685.9858398</v>
      </c>
      <c r="H1174" s="336">
        <f t="shared" si="63"/>
        <v>26301836.727215186</v>
      </c>
      <c r="I1174" s="336">
        <f t="shared" si="64"/>
        <v>26301836.727215186</v>
      </c>
      <c r="J1174" s="336"/>
    </row>
    <row r="1175" spans="1:10" ht="33">
      <c r="A1175" s="305">
        <v>15</v>
      </c>
      <c r="B1175" s="346" t="s">
        <v>669</v>
      </c>
      <c r="C1175" s="343" t="s">
        <v>652</v>
      </c>
      <c r="D1175" s="343">
        <v>0.185</v>
      </c>
      <c r="E1175" s="342">
        <f t="shared" si="62"/>
        <v>0.185</v>
      </c>
      <c r="F1175" s="342"/>
      <c r="G1175" s="336">
        <v>15106692.40168187</v>
      </c>
      <c r="H1175" s="336">
        <f t="shared" si="63"/>
        <v>2794738.0943111461</v>
      </c>
      <c r="I1175" s="336">
        <f t="shared" si="64"/>
        <v>2794738.0943111461</v>
      </c>
      <c r="J1175" s="336"/>
    </row>
    <row r="1176" spans="1:10" ht="33">
      <c r="A1176" s="305">
        <v>16</v>
      </c>
      <c r="B1176" s="346" t="s">
        <v>668</v>
      </c>
      <c r="C1176" s="343" t="s">
        <v>332</v>
      </c>
      <c r="D1176" s="343">
        <v>0.50600000000000001</v>
      </c>
      <c r="E1176" s="342">
        <f t="shared" si="62"/>
        <v>0.50600000000000001</v>
      </c>
      <c r="F1176" s="342"/>
      <c r="G1176" s="336">
        <v>21747384.383930594</v>
      </c>
      <c r="H1176" s="336">
        <f t="shared" si="63"/>
        <v>11004176.49826888</v>
      </c>
      <c r="I1176" s="336">
        <f t="shared" si="64"/>
        <v>11004176.49826888</v>
      </c>
      <c r="J1176" s="336"/>
    </row>
    <row r="1177" spans="1:10" ht="33">
      <c r="A1177" s="305">
        <v>17</v>
      </c>
      <c r="B1177" s="346" t="s">
        <v>667</v>
      </c>
      <c r="C1177" s="343" t="s">
        <v>648</v>
      </c>
      <c r="D1177" s="343">
        <v>4.45</v>
      </c>
      <c r="E1177" s="342">
        <f t="shared" si="62"/>
        <v>4.45</v>
      </c>
      <c r="F1177" s="342"/>
      <c r="G1177" s="336">
        <v>2829045.9997663596</v>
      </c>
      <c r="H1177" s="336">
        <f t="shared" si="63"/>
        <v>12589254.698960301</v>
      </c>
      <c r="I1177" s="336">
        <f t="shared" si="64"/>
        <v>12589254.698960301</v>
      </c>
      <c r="J1177" s="336"/>
    </row>
    <row r="1178" spans="1:10">
      <c r="A1178" s="305">
        <v>18</v>
      </c>
      <c r="B1178" s="346" t="s">
        <v>666</v>
      </c>
      <c r="C1178" s="343" t="s">
        <v>652</v>
      </c>
      <c r="D1178" s="343">
        <v>0.36499999999999999</v>
      </c>
      <c r="E1178" s="342">
        <f t="shared" si="62"/>
        <v>0.36499999999999999</v>
      </c>
      <c r="F1178" s="342"/>
      <c r="G1178" s="336">
        <v>2964456.4535508999</v>
      </c>
      <c r="H1178" s="336">
        <f t="shared" si="63"/>
        <v>1082026.6055460784</v>
      </c>
      <c r="I1178" s="336">
        <f t="shared" si="64"/>
        <v>1082026.6055460784</v>
      </c>
      <c r="J1178" s="336"/>
    </row>
    <row r="1179" spans="1:10" ht="33">
      <c r="A1179" s="305">
        <v>19</v>
      </c>
      <c r="B1179" s="346" t="s">
        <v>665</v>
      </c>
      <c r="C1179" s="343" t="s">
        <v>332</v>
      </c>
      <c r="D1179" s="343">
        <v>0.45400000000000001</v>
      </c>
      <c r="E1179" s="342">
        <f t="shared" si="62"/>
        <v>0.45400000000000001</v>
      </c>
      <c r="F1179" s="342"/>
      <c r="G1179" s="336">
        <v>22364722.655141901</v>
      </c>
      <c r="H1179" s="336">
        <f t="shared" si="63"/>
        <v>10153584.085434424</v>
      </c>
      <c r="I1179" s="336">
        <f t="shared" si="64"/>
        <v>10153584.085434424</v>
      </c>
      <c r="J1179" s="336"/>
    </row>
    <row r="1180" spans="1:10">
      <c r="A1180" s="305">
        <v>20</v>
      </c>
      <c r="B1180" s="345" t="s">
        <v>664</v>
      </c>
      <c r="C1180" s="343" t="s">
        <v>648</v>
      </c>
      <c r="D1180" s="343">
        <v>2.4319999999999999</v>
      </c>
      <c r="E1180" s="342">
        <f t="shared" si="62"/>
        <v>2.4319999999999999</v>
      </c>
      <c r="F1180" s="342"/>
      <c r="G1180" s="336">
        <v>2099997.2067459002</v>
      </c>
      <c r="H1180" s="336">
        <f t="shared" si="63"/>
        <v>5107193.2068060292</v>
      </c>
      <c r="I1180" s="336">
        <f t="shared" si="64"/>
        <v>5107193.2068060292</v>
      </c>
      <c r="J1180" s="336"/>
    </row>
    <row r="1181" spans="1:10" ht="33">
      <c r="A1181" s="305">
        <v>21</v>
      </c>
      <c r="B1181" s="346" t="s">
        <v>663</v>
      </c>
      <c r="C1181" s="343" t="s">
        <v>106</v>
      </c>
      <c r="D1181" s="343">
        <v>9.1999999999999998E-2</v>
      </c>
      <c r="E1181" s="342">
        <f t="shared" si="62"/>
        <v>9.1999999999999998E-2</v>
      </c>
      <c r="F1181" s="342"/>
      <c r="G1181" s="336">
        <v>15994183.616878171</v>
      </c>
      <c r="H1181" s="336">
        <f t="shared" si="63"/>
        <v>1471464.8927527918</v>
      </c>
      <c r="I1181" s="336">
        <f t="shared" si="64"/>
        <v>1471464.8927527918</v>
      </c>
      <c r="J1181" s="336"/>
    </row>
    <row r="1182" spans="1:10" ht="33">
      <c r="A1182" s="305">
        <v>22</v>
      </c>
      <c r="B1182" s="346" t="s">
        <v>662</v>
      </c>
      <c r="C1182" s="343" t="s">
        <v>596</v>
      </c>
      <c r="D1182" s="343">
        <v>5</v>
      </c>
      <c r="E1182" s="342">
        <f t="shared" si="62"/>
        <v>5</v>
      </c>
      <c r="F1182" s="342"/>
      <c r="G1182" s="336">
        <v>5565191.5269221701</v>
      </c>
      <c r="H1182" s="336">
        <f t="shared" si="63"/>
        <v>27825957.63461085</v>
      </c>
      <c r="I1182" s="336">
        <f t="shared" si="64"/>
        <v>27825957.63461085</v>
      </c>
      <c r="J1182" s="336"/>
    </row>
    <row r="1183" spans="1:10" ht="33">
      <c r="A1183" s="305">
        <v>23</v>
      </c>
      <c r="B1183" s="346" t="s">
        <v>661</v>
      </c>
      <c r="C1183" s="343" t="s">
        <v>660</v>
      </c>
      <c r="D1183" s="343">
        <v>4</v>
      </c>
      <c r="E1183" s="342">
        <f t="shared" si="62"/>
        <v>4</v>
      </c>
      <c r="F1183" s="342"/>
      <c r="G1183" s="336">
        <v>136203.73658385998</v>
      </c>
      <c r="H1183" s="336">
        <f t="shared" si="63"/>
        <v>544814.94633543992</v>
      </c>
      <c r="I1183" s="336">
        <f t="shared" si="64"/>
        <v>544814.94633543992</v>
      </c>
      <c r="J1183" s="336"/>
    </row>
    <row r="1184" spans="1:10">
      <c r="A1184" s="305">
        <v>24</v>
      </c>
      <c r="B1184" s="346" t="s">
        <v>659</v>
      </c>
      <c r="C1184" s="343" t="s">
        <v>652</v>
      </c>
      <c r="D1184" s="343">
        <v>0.94699999999999995</v>
      </c>
      <c r="E1184" s="342">
        <f t="shared" si="62"/>
        <v>0.94699999999999995</v>
      </c>
      <c r="F1184" s="342"/>
      <c r="G1184" s="336">
        <v>3378321.3368108603</v>
      </c>
      <c r="H1184" s="336">
        <f t="shared" si="63"/>
        <v>3199270.3059598845</v>
      </c>
      <c r="I1184" s="336">
        <f t="shared" si="64"/>
        <v>3199270.3059598845</v>
      </c>
      <c r="J1184" s="336"/>
    </row>
    <row r="1185" spans="1:10">
      <c r="A1185" s="305">
        <v>25</v>
      </c>
      <c r="B1185" s="346" t="s">
        <v>658</v>
      </c>
      <c r="C1185" s="343" t="s">
        <v>657</v>
      </c>
      <c r="D1185" s="343">
        <v>47.28</v>
      </c>
      <c r="E1185" s="342">
        <f t="shared" si="62"/>
        <v>47.28</v>
      </c>
      <c r="F1185" s="342"/>
      <c r="G1185" s="336">
        <v>1375554.8074037002</v>
      </c>
      <c r="H1185" s="336">
        <f t="shared" si="63"/>
        <v>65036231.294046946</v>
      </c>
      <c r="I1185" s="336">
        <f t="shared" si="64"/>
        <v>65036231.294046946</v>
      </c>
      <c r="J1185" s="336"/>
    </row>
    <row r="1186" spans="1:10">
      <c r="A1186" s="305">
        <v>26</v>
      </c>
      <c r="B1186" s="345" t="s">
        <v>656</v>
      </c>
      <c r="C1186" s="343" t="s">
        <v>30</v>
      </c>
      <c r="D1186" s="343">
        <v>0.216</v>
      </c>
      <c r="E1186" s="342">
        <f t="shared" si="62"/>
        <v>0.216</v>
      </c>
      <c r="F1186" s="342"/>
      <c r="G1186" s="336">
        <v>569218.12594581</v>
      </c>
      <c r="H1186" s="336">
        <f t="shared" si="63"/>
        <v>122951.11520429495</v>
      </c>
      <c r="I1186" s="336">
        <f t="shared" si="64"/>
        <v>122951.11520429495</v>
      </c>
      <c r="J1186" s="336"/>
    </row>
    <row r="1187" spans="1:10">
      <c r="A1187" s="305">
        <v>27</v>
      </c>
      <c r="B1187" s="346" t="s">
        <v>655</v>
      </c>
      <c r="C1187" s="343" t="s">
        <v>341</v>
      </c>
      <c r="D1187" s="343">
        <v>16</v>
      </c>
      <c r="E1187" s="342">
        <f t="shared" si="62"/>
        <v>16</v>
      </c>
      <c r="F1187" s="342"/>
      <c r="G1187" s="336">
        <v>65776.77100742</v>
      </c>
      <c r="H1187" s="336">
        <f t="shared" si="63"/>
        <v>1052428.33611872</v>
      </c>
      <c r="I1187" s="336">
        <f t="shared" si="64"/>
        <v>1052428.33611872</v>
      </c>
      <c r="J1187" s="336"/>
    </row>
    <row r="1188" spans="1:10" ht="33">
      <c r="A1188" s="305">
        <v>28</v>
      </c>
      <c r="B1188" s="346" t="s">
        <v>654</v>
      </c>
      <c r="C1188" s="343" t="s">
        <v>648</v>
      </c>
      <c r="D1188" s="343">
        <v>0.3</v>
      </c>
      <c r="E1188" s="342">
        <f t="shared" si="62"/>
        <v>0.3</v>
      </c>
      <c r="F1188" s="342"/>
      <c r="G1188" s="336">
        <v>2675873.0680872295</v>
      </c>
      <c r="H1188" s="336">
        <f t="shared" si="63"/>
        <v>802761.92042616883</v>
      </c>
      <c r="I1188" s="336">
        <f t="shared" si="64"/>
        <v>802761.92042616883</v>
      </c>
      <c r="J1188" s="336"/>
    </row>
    <row r="1189" spans="1:10" ht="49.5">
      <c r="A1189" s="305">
        <v>29</v>
      </c>
      <c r="B1189" s="347" t="s">
        <v>653</v>
      </c>
      <c r="C1189" s="343" t="s">
        <v>652</v>
      </c>
      <c r="D1189" s="343">
        <v>5.3999999999999999E-2</v>
      </c>
      <c r="E1189" s="342">
        <f t="shared" si="62"/>
        <v>5.3999999999999999E-2</v>
      </c>
      <c r="F1189" s="342"/>
      <c r="G1189" s="336">
        <v>7817646.2507981202</v>
      </c>
      <c r="H1189" s="336">
        <f t="shared" si="63"/>
        <v>422152.89754309849</v>
      </c>
      <c r="I1189" s="336">
        <f t="shared" si="64"/>
        <v>422152.89754309849</v>
      </c>
      <c r="J1189" s="336"/>
    </row>
    <row r="1190" spans="1:10" ht="33">
      <c r="A1190" s="305">
        <v>30</v>
      </c>
      <c r="B1190" s="346" t="s">
        <v>651</v>
      </c>
      <c r="C1190" s="343" t="s">
        <v>332</v>
      </c>
      <c r="D1190" s="343">
        <v>0.01</v>
      </c>
      <c r="E1190" s="342">
        <f t="shared" si="62"/>
        <v>0.01</v>
      </c>
      <c r="F1190" s="342"/>
      <c r="G1190" s="336">
        <v>22271236.953963142</v>
      </c>
      <c r="H1190" s="336">
        <f t="shared" si="63"/>
        <v>222712.36953963141</v>
      </c>
      <c r="I1190" s="336">
        <f t="shared" si="64"/>
        <v>222712.36953963141</v>
      </c>
      <c r="J1190" s="336"/>
    </row>
    <row r="1191" spans="1:10" ht="33">
      <c r="A1191" s="305">
        <v>31</v>
      </c>
      <c r="B1191" s="346" t="s">
        <v>650</v>
      </c>
      <c r="C1191" s="343" t="s">
        <v>332</v>
      </c>
      <c r="D1191" s="343">
        <v>2.8000000000000001E-2</v>
      </c>
      <c r="E1191" s="342">
        <f t="shared" si="62"/>
        <v>2.8000000000000001E-2</v>
      </c>
      <c r="F1191" s="342"/>
      <c r="G1191" s="336">
        <v>22143203.30019743</v>
      </c>
      <c r="H1191" s="336">
        <f t="shared" si="63"/>
        <v>620009.69240552804</v>
      </c>
      <c r="I1191" s="336">
        <f t="shared" si="64"/>
        <v>620009.69240552804</v>
      </c>
      <c r="J1191" s="336"/>
    </row>
    <row r="1192" spans="1:10">
      <c r="A1192" s="305">
        <v>32</v>
      </c>
      <c r="B1192" s="346" t="s">
        <v>649</v>
      </c>
      <c r="C1192" s="343" t="s">
        <v>648</v>
      </c>
      <c r="D1192" s="343">
        <v>5.3999999999999999E-2</v>
      </c>
      <c r="E1192" s="342">
        <f t="shared" si="62"/>
        <v>5.3999999999999999E-2</v>
      </c>
      <c r="F1192" s="342"/>
      <c r="G1192" s="336">
        <v>30749640.32562983</v>
      </c>
      <c r="H1192" s="336">
        <f t="shared" si="63"/>
        <v>1660480.5775840108</v>
      </c>
      <c r="I1192" s="336">
        <f t="shared" si="64"/>
        <v>1660480.5775840108</v>
      </c>
      <c r="J1192" s="336"/>
    </row>
    <row r="1193" spans="1:10">
      <c r="A1193" s="305">
        <v>33</v>
      </c>
      <c r="B1193" s="346" t="s">
        <v>647</v>
      </c>
      <c r="C1193" s="343" t="s">
        <v>332</v>
      </c>
      <c r="D1193" s="343">
        <v>8.5000000000000006E-2</v>
      </c>
      <c r="E1193" s="342">
        <f t="shared" si="62"/>
        <v>8.5000000000000006E-2</v>
      </c>
      <c r="F1193" s="342"/>
      <c r="G1193" s="336">
        <v>24265009.700467579</v>
      </c>
      <c r="H1193" s="336">
        <f t="shared" si="63"/>
        <v>2062525.8245397443</v>
      </c>
      <c r="I1193" s="336">
        <f t="shared" si="64"/>
        <v>2062525.8245397443</v>
      </c>
      <c r="J1193" s="336"/>
    </row>
    <row r="1194" spans="1:10">
      <c r="A1194" s="305">
        <v>34</v>
      </c>
      <c r="B1194" s="346" t="s">
        <v>290</v>
      </c>
      <c r="C1194" s="343" t="s">
        <v>332</v>
      </c>
      <c r="D1194" s="343">
        <v>6.0999999999999999E-2</v>
      </c>
      <c r="E1194" s="342">
        <f t="shared" si="62"/>
        <v>6.0999999999999999E-2</v>
      </c>
      <c r="F1194" s="342"/>
      <c r="G1194" s="336">
        <v>19596294.654804558</v>
      </c>
      <c r="H1194" s="336">
        <f t="shared" si="63"/>
        <v>1195373.973943078</v>
      </c>
      <c r="I1194" s="336">
        <f t="shared" si="64"/>
        <v>1195373.973943078</v>
      </c>
      <c r="J1194" s="336"/>
    </row>
    <row r="1195" spans="1:10">
      <c r="A1195" s="305">
        <v>35</v>
      </c>
      <c r="B1195" s="346" t="s">
        <v>272</v>
      </c>
      <c r="C1195" s="343" t="s">
        <v>332</v>
      </c>
      <c r="D1195" s="343">
        <v>0.01</v>
      </c>
      <c r="E1195" s="342">
        <f t="shared" si="62"/>
        <v>0.01</v>
      </c>
      <c r="F1195" s="342"/>
      <c r="G1195" s="336">
        <v>19544231.212679248</v>
      </c>
      <c r="H1195" s="336">
        <f t="shared" si="63"/>
        <v>195442.3121267925</v>
      </c>
      <c r="I1195" s="336">
        <f t="shared" si="64"/>
        <v>195442.3121267925</v>
      </c>
      <c r="J1195" s="336"/>
    </row>
    <row r="1196" spans="1:10">
      <c r="A1196" s="305">
        <v>36</v>
      </c>
      <c r="B1196" s="346" t="s">
        <v>646</v>
      </c>
      <c r="C1196" s="343" t="s">
        <v>332</v>
      </c>
      <c r="D1196" s="343">
        <v>1.4E-2</v>
      </c>
      <c r="E1196" s="342">
        <f t="shared" si="62"/>
        <v>1.4E-2</v>
      </c>
      <c r="F1196" s="342"/>
      <c r="G1196" s="336">
        <v>83001988.39263925</v>
      </c>
      <c r="H1196" s="336">
        <f t="shared" si="63"/>
        <v>1162027.8374969496</v>
      </c>
      <c r="I1196" s="336">
        <f t="shared" si="64"/>
        <v>1162027.8374969496</v>
      </c>
      <c r="J1196" s="336"/>
    </row>
    <row r="1197" spans="1:10">
      <c r="A1197" s="305">
        <v>37</v>
      </c>
      <c r="B1197" s="346" t="s">
        <v>645</v>
      </c>
      <c r="C1197" s="343" t="s">
        <v>90</v>
      </c>
      <c r="D1197" s="343">
        <v>2.1</v>
      </c>
      <c r="E1197" s="342">
        <f t="shared" si="62"/>
        <v>2.1</v>
      </c>
      <c r="F1197" s="342"/>
      <c r="G1197" s="336">
        <v>82983.22092764001</v>
      </c>
      <c r="H1197" s="336">
        <f t="shared" si="63"/>
        <v>174264.76394804404</v>
      </c>
      <c r="I1197" s="336">
        <f t="shared" si="64"/>
        <v>174264.76394804404</v>
      </c>
      <c r="J1197" s="336"/>
    </row>
    <row r="1198" spans="1:10">
      <c r="A1198" s="305">
        <v>38</v>
      </c>
      <c r="B1198" s="346" t="s">
        <v>644</v>
      </c>
      <c r="C1198" s="343" t="s">
        <v>341</v>
      </c>
      <c r="D1198" s="343">
        <v>36</v>
      </c>
      <c r="E1198" s="342">
        <f t="shared" si="62"/>
        <v>36</v>
      </c>
      <c r="F1198" s="342"/>
      <c r="G1198" s="336">
        <v>5492.1450247399998</v>
      </c>
      <c r="H1198" s="336">
        <f t="shared" si="63"/>
        <v>197717.22089063999</v>
      </c>
      <c r="I1198" s="336">
        <f t="shared" si="64"/>
        <v>197717.22089063999</v>
      </c>
      <c r="J1198" s="336"/>
    </row>
    <row r="1199" spans="1:10">
      <c r="A1199" s="305">
        <v>39</v>
      </c>
      <c r="B1199" s="346" t="s">
        <v>643</v>
      </c>
      <c r="C1199" s="343" t="s">
        <v>341</v>
      </c>
      <c r="D1199" s="343">
        <v>8</v>
      </c>
      <c r="E1199" s="342">
        <f t="shared" si="62"/>
        <v>8</v>
      </c>
      <c r="F1199" s="342"/>
      <c r="G1199" s="336">
        <v>9762.731873839999</v>
      </c>
      <c r="H1199" s="336">
        <f t="shared" si="63"/>
        <v>78101.854990719992</v>
      </c>
      <c r="I1199" s="336">
        <f t="shared" si="64"/>
        <v>78101.854990719992</v>
      </c>
      <c r="J1199" s="336"/>
    </row>
    <row r="1200" spans="1:10" ht="33">
      <c r="A1200" s="305">
        <v>40</v>
      </c>
      <c r="B1200" s="346" t="s">
        <v>642</v>
      </c>
      <c r="C1200" s="343" t="s">
        <v>332</v>
      </c>
      <c r="D1200" s="343">
        <v>8.5000000000000006E-2</v>
      </c>
      <c r="E1200" s="342">
        <f t="shared" si="62"/>
        <v>8.5000000000000006E-2</v>
      </c>
      <c r="F1200" s="342"/>
      <c r="G1200" s="336">
        <v>3091690.7410602402</v>
      </c>
      <c r="H1200" s="336">
        <f t="shared" si="63"/>
        <v>262793.71299012046</v>
      </c>
      <c r="I1200" s="336">
        <f t="shared" si="64"/>
        <v>262793.71299012046</v>
      </c>
      <c r="J1200" s="336"/>
    </row>
    <row r="1201" spans="1:12">
      <c r="A1201" s="305">
        <v>41</v>
      </c>
      <c r="B1201" s="345" t="s">
        <v>641</v>
      </c>
      <c r="C1201" s="343" t="s">
        <v>341</v>
      </c>
      <c r="D1201" s="343">
        <v>4</v>
      </c>
      <c r="E1201" s="342">
        <f t="shared" si="62"/>
        <v>4</v>
      </c>
      <c r="F1201" s="342"/>
      <c r="G1201" s="336">
        <v>18305.122263450001</v>
      </c>
      <c r="H1201" s="336">
        <f t="shared" si="63"/>
        <v>73220.489053800004</v>
      </c>
      <c r="I1201" s="336">
        <f t="shared" si="64"/>
        <v>73220.489053800004</v>
      </c>
      <c r="J1201" s="336"/>
    </row>
    <row r="1202" spans="1:12">
      <c r="A1202" s="333">
        <v>42</v>
      </c>
      <c r="B1202" s="344" t="s">
        <v>640</v>
      </c>
      <c r="C1202" s="343" t="s">
        <v>90</v>
      </c>
      <c r="D1202" s="343">
        <v>5.6</v>
      </c>
      <c r="E1202" s="342">
        <f t="shared" si="62"/>
        <v>5.6</v>
      </c>
      <c r="F1202" s="342"/>
      <c r="G1202" s="336">
        <v>24406.829684599998</v>
      </c>
      <c r="H1202" s="336">
        <f t="shared" si="63"/>
        <v>136678.24623375997</v>
      </c>
      <c r="I1202" s="336">
        <f t="shared" si="64"/>
        <v>136678.24623375997</v>
      </c>
      <c r="J1202" s="336"/>
    </row>
    <row r="1203" spans="1:12" ht="23.25" customHeight="1">
      <c r="A1203" s="341"/>
      <c r="B1203" s="733" t="s">
        <v>639</v>
      </c>
      <c r="C1203" s="734"/>
      <c r="D1203" s="734"/>
      <c r="E1203" s="734"/>
      <c r="F1203" s="734"/>
      <c r="G1203" s="735"/>
      <c r="H1203" s="338">
        <f>H22+H270+H527+H733+H983+H1027+H1071+H1115+H1160</f>
        <v>19895990598.376678</v>
      </c>
      <c r="I1203" s="338">
        <f>I22+I270+I527+I733+I983+I1027+I1071+I1115+I1160</f>
        <v>10068874403.027206</v>
      </c>
      <c r="J1203" s="338">
        <f>J22+J270+J527+J733+J983+J1027+J1071+J1115+J1160</f>
        <v>9827116195.349472</v>
      </c>
      <c r="K1203" s="329"/>
    </row>
    <row r="1204" spans="1:12" ht="23.25" customHeight="1">
      <c r="A1204" s="340"/>
      <c r="B1204" s="734" t="s">
        <v>638</v>
      </c>
      <c r="C1204" s="734"/>
      <c r="D1204" s="734"/>
      <c r="E1204" s="734"/>
      <c r="F1204" s="734"/>
      <c r="G1204" s="735"/>
      <c r="H1204" s="338">
        <f>ROUND(H1203*3.40366/100,-3)</f>
        <v>677192000</v>
      </c>
      <c r="I1204" s="338">
        <f>ROUND(I1203*3.40366/100,-3)</f>
        <v>342710000</v>
      </c>
      <c r="J1204" s="338">
        <f>ROUND(J1203*3.40366/100,-3)</f>
        <v>334482000</v>
      </c>
    </row>
    <row r="1205" spans="1:12" ht="23.25" customHeight="1">
      <c r="A1205" s="340"/>
      <c r="B1205" s="733" t="s">
        <v>637</v>
      </c>
      <c r="C1205" s="734"/>
      <c r="D1205" s="734"/>
      <c r="E1205" s="734"/>
      <c r="F1205" s="734"/>
      <c r="G1205" s="735"/>
      <c r="H1205" s="338">
        <f>H1203-H1204</f>
        <v>19218798598.376678</v>
      </c>
      <c r="I1205" s="338">
        <f>I1203-I1204</f>
        <v>9726164403.0272064</v>
      </c>
      <c r="J1205" s="338">
        <f>J1203-J1204</f>
        <v>9492634195.349472</v>
      </c>
    </row>
    <row r="1206" spans="1:12" ht="36.75" customHeight="1">
      <c r="A1206" s="339" t="s">
        <v>337</v>
      </c>
      <c r="B1206" s="736" t="s">
        <v>636</v>
      </c>
      <c r="C1206" s="737"/>
      <c r="D1206" s="737"/>
      <c r="E1206" s="737"/>
      <c r="F1206" s="737"/>
      <c r="G1206" s="738"/>
      <c r="H1206" s="338">
        <f>H1207+H1208</f>
        <v>1851548026.5206342</v>
      </c>
      <c r="I1206" s="338">
        <f>I1207+I1208</f>
        <v>937068456.22209311</v>
      </c>
      <c r="J1206" s="338">
        <f>J1207+J1208</f>
        <v>914479570.29854131</v>
      </c>
    </row>
    <row r="1207" spans="1:12">
      <c r="A1207" s="305">
        <v>1</v>
      </c>
      <c r="B1207" s="739" t="s">
        <v>635</v>
      </c>
      <c r="C1207" s="740"/>
      <c r="D1207" s="740"/>
      <c r="E1207" s="740"/>
      <c r="F1207" s="740"/>
      <c r="G1207" s="741"/>
      <c r="H1207" s="337">
        <v>925774013.26031697</v>
      </c>
      <c r="I1207" s="336">
        <f>H1207*$E$7</f>
        <v>468534228.11104643</v>
      </c>
      <c r="J1207" s="336">
        <f>H1207*$F$7</f>
        <v>457239785.14927053</v>
      </c>
    </row>
    <row r="1208" spans="1:12">
      <c r="A1208" s="305">
        <v>2</v>
      </c>
      <c r="B1208" s="739" t="s">
        <v>634</v>
      </c>
      <c r="C1208" s="740"/>
      <c r="D1208" s="740"/>
      <c r="E1208" s="740"/>
      <c r="F1208" s="740"/>
      <c r="G1208" s="741"/>
      <c r="H1208" s="337">
        <v>925774013.26031733</v>
      </c>
      <c r="I1208" s="336">
        <f>H1208*$E$7</f>
        <v>468534228.11104661</v>
      </c>
      <c r="J1208" s="336">
        <f>H1208*$F$7</f>
        <v>457239785.14927071</v>
      </c>
    </row>
    <row r="1209" spans="1:12" ht="28.5" customHeight="1">
      <c r="A1209" s="333"/>
      <c r="B1209" s="744" t="s">
        <v>633</v>
      </c>
      <c r="C1209" s="744"/>
      <c r="D1209" s="744"/>
      <c r="E1209" s="744"/>
      <c r="F1209" s="744"/>
      <c r="G1209" s="744"/>
      <c r="H1209" s="335">
        <f>(H1206+H1205+H20)</f>
        <v>21270346624.897312</v>
      </c>
      <c r="I1209" s="335">
        <f>(I1206+I1205+I20)</f>
        <v>10764452859.2493</v>
      </c>
      <c r="J1209" s="335">
        <f>(J1206+J1205+J20)</f>
        <v>10505893765.648014</v>
      </c>
      <c r="L1209" s="334"/>
    </row>
    <row r="1210" spans="1:12" ht="28.5" customHeight="1">
      <c r="A1210" s="333"/>
      <c r="B1210" s="745" t="s">
        <v>632</v>
      </c>
      <c r="C1210" s="746"/>
      <c r="D1210" s="746"/>
      <c r="E1210" s="746"/>
      <c r="F1210" s="746"/>
      <c r="G1210" s="747"/>
      <c r="H1210" s="335">
        <f>H1209*1/100</f>
        <v>212703466.24897313</v>
      </c>
      <c r="I1210" s="335">
        <f>I1209*1/100</f>
        <v>107644528.592493</v>
      </c>
      <c r="J1210" s="335">
        <f>J1209*1/100</f>
        <v>105058937.65648013</v>
      </c>
      <c r="L1210" s="334"/>
    </row>
    <row r="1211" spans="1:12" ht="28.5" customHeight="1">
      <c r="A1211" s="333"/>
      <c r="B1211" s="744" t="s">
        <v>631</v>
      </c>
      <c r="C1211" s="744"/>
      <c r="D1211" s="744"/>
      <c r="E1211" s="744"/>
      <c r="F1211" s="744"/>
      <c r="G1211" s="744"/>
      <c r="H1211" s="335">
        <f>ROUND(H1209-H1210,-3)</f>
        <v>21057643000</v>
      </c>
      <c r="I1211" s="335">
        <f>ROUND(I1209-I1210,-3)</f>
        <v>10656808000</v>
      </c>
      <c r="J1211" s="335">
        <f>ROUND(J1209-J1210,-3)</f>
        <v>10400835000</v>
      </c>
      <c r="K1211" s="326"/>
      <c r="L1211" s="334"/>
    </row>
    <row r="1212" spans="1:12" ht="28.5" customHeight="1">
      <c r="A1212" s="333"/>
      <c r="B1212" s="744" t="s">
        <v>630</v>
      </c>
      <c r="C1212" s="744"/>
      <c r="D1212" s="744"/>
      <c r="E1212" s="744"/>
      <c r="F1212" s="744"/>
      <c r="G1212" s="744"/>
      <c r="H1212" s="332">
        <f>100%</f>
        <v>1</v>
      </c>
      <c r="I1212" s="331">
        <f>I1211/H1211</f>
        <v>0.50607791194864493</v>
      </c>
      <c r="J1212" s="331">
        <f>J1211/H1211</f>
        <v>0.49392208805135501</v>
      </c>
      <c r="K1212" s="326"/>
      <c r="L1212" s="325"/>
    </row>
    <row r="1213" spans="1:12">
      <c r="L1213" s="330"/>
    </row>
    <row r="1214" spans="1:12" ht="24.75" customHeight="1">
      <c r="A1214" s="728" t="s">
        <v>629</v>
      </c>
      <c r="B1214" s="728"/>
      <c r="C1214" s="728"/>
      <c r="D1214" s="728"/>
      <c r="E1214" s="728"/>
      <c r="F1214" s="728" t="s">
        <v>628</v>
      </c>
      <c r="G1214" s="728"/>
      <c r="H1214" s="728"/>
      <c r="I1214" s="728"/>
      <c r="J1214" s="728"/>
    </row>
    <row r="1215" spans="1:12" ht="40.5" customHeight="1">
      <c r="A1215" s="742" t="s">
        <v>627</v>
      </c>
      <c r="B1215" s="742"/>
      <c r="C1215" s="742"/>
      <c r="D1215" s="742"/>
      <c r="E1215" s="742"/>
      <c r="F1215" s="742" t="s">
        <v>626</v>
      </c>
      <c r="G1215" s="742"/>
      <c r="H1215" s="742"/>
      <c r="I1215" s="743" t="s">
        <v>625</v>
      </c>
      <c r="J1215" s="743"/>
    </row>
    <row r="1228" spans="11:11" s="322" customFormat="1">
      <c r="K1228" s="330">
        <f>0.01*200000000</f>
        <v>2000000</v>
      </c>
    </row>
    <row r="1229" spans="11:11" s="322" customFormat="1">
      <c r="K1229" s="329">
        <f>200000000-K1228</f>
        <v>198000000</v>
      </c>
    </row>
    <row r="1230" spans="11:11" s="322" customFormat="1">
      <c r="K1230" s="326">
        <v>19218798598</v>
      </c>
    </row>
    <row r="1231" spans="11:11" s="322" customFormat="1">
      <c r="K1231" s="322">
        <f>+K1230*1/100</f>
        <v>192187985.97999999</v>
      </c>
    </row>
    <row r="1232" spans="11:11" s="322" customFormat="1">
      <c r="K1232" s="325">
        <f>K1230-K1231</f>
        <v>19026610612.02</v>
      </c>
    </row>
    <row r="1233" spans="11:13" s="322" customFormat="1">
      <c r="K1233" s="326">
        <v>1851548027</v>
      </c>
    </row>
    <row r="1234" spans="11:13" s="322" customFormat="1">
      <c r="K1234" s="328">
        <f>+K1233/100</f>
        <v>18515480.27</v>
      </c>
    </row>
    <row r="1235" spans="11:13" s="322" customFormat="1">
      <c r="K1235" s="327">
        <f>K1233-K1234</f>
        <v>1833032546.73</v>
      </c>
      <c r="L1235" s="322">
        <f>+K1235/2</f>
        <v>916516273.36500001</v>
      </c>
    </row>
    <row r="1236" spans="11:13" s="322" customFormat="1">
      <c r="K1236" s="326">
        <v>925774013</v>
      </c>
    </row>
    <row r="1237" spans="11:13" s="322" customFormat="1">
      <c r="K1237" s="322">
        <f>+K1236/100</f>
        <v>9257740.1300000008</v>
      </c>
    </row>
    <row r="1238" spans="11:13" s="322" customFormat="1">
      <c r="K1238" s="325">
        <f>+K1236-K1237</f>
        <v>916516272.87</v>
      </c>
    </row>
    <row r="1244" spans="11:13" s="322" customFormat="1" ht="56.25">
      <c r="L1244" s="324" t="s">
        <v>624</v>
      </c>
      <c r="M1244" s="325">
        <v>21057643000</v>
      </c>
    </row>
    <row r="1245" spans="11:13" s="322" customFormat="1" ht="75">
      <c r="L1245" s="324" t="s">
        <v>623</v>
      </c>
      <c r="M1245" s="325">
        <v>198000000</v>
      </c>
    </row>
    <row r="1246" spans="11:13" s="322" customFormat="1" ht="93.75">
      <c r="L1246" s="324" t="s">
        <v>622</v>
      </c>
      <c r="M1246" s="325">
        <v>19026610612</v>
      </c>
    </row>
    <row r="1247" spans="11:13" s="322" customFormat="1" ht="75">
      <c r="L1247" s="324" t="s">
        <v>621</v>
      </c>
      <c r="M1247" s="325">
        <v>1833032546</v>
      </c>
    </row>
    <row r="1248" spans="11:13" s="322" customFormat="1" ht="93.75">
      <c r="L1248" s="324" t="s">
        <v>620</v>
      </c>
      <c r="M1248" s="325">
        <f>SUM(M1245:M1247)</f>
        <v>21057643158</v>
      </c>
    </row>
    <row r="1249" spans="12:12" s="322" customFormat="1" ht="75">
      <c r="L1249" s="324" t="s">
        <v>619</v>
      </c>
    </row>
  </sheetData>
  <mergeCells count="24">
    <mergeCell ref="B1208:G1208"/>
    <mergeCell ref="A1215:E1215"/>
    <mergeCell ref="F1215:H1215"/>
    <mergeCell ref="I1215:J1215"/>
    <mergeCell ref="B1209:G1209"/>
    <mergeCell ref="B1210:G1210"/>
    <mergeCell ref="B1211:G1211"/>
    <mergeCell ref="B1212:G1212"/>
    <mergeCell ref="A1214:E1214"/>
    <mergeCell ref="F1214:J1214"/>
    <mergeCell ref="B1203:G1203"/>
    <mergeCell ref="B1204:G1204"/>
    <mergeCell ref="B1205:G1205"/>
    <mergeCell ref="B1206:G1206"/>
    <mergeCell ref="B1207:G1207"/>
    <mergeCell ref="A1:J1"/>
    <mergeCell ref="A2:J2"/>
    <mergeCell ref="A3:J3"/>
    <mergeCell ref="A5:A6"/>
    <mergeCell ref="B5:B6"/>
    <mergeCell ref="C5:C6"/>
    <mergeCell ref="D5:F5"/>
    <mergeCell ref="G5:G6"/>
    <mergeCell ref="H5:J5"/>
  </mergeCells>
  <pageMargins left="0.4" right="0.28000000000000003" top="0.68" bottom="0.49" header="0.3" footer="0.3"/>
  <pageSetup paperSize="9" scale="70" orientation="landscape" r:id="rId1"/>
  <headerFooter>
    <oddFooter>&amp;CTrang &amp;P</oddFooter>
  </headerFooter>
</worksheet>
</file>

<file path=xl/worksheets/sheet7.xml><?xml version="1.0" encoding="utf-8"?>
<worksheet xmlns="http://schemas.openxmlformats.org/spreadsheetml/2006/main" xmlns:r="http://schemas.openxmlformats.org/officeDocument/2006/relationships">
  <sheetPr>
    <tabColor rgb="FFFFFF00"/>
  </sheetPr>
  <dimension ref="A1:N31"/>
  <sheetViews>
    <sheetView topLeftCell="A7" workbookViewId="0">
      <selection activeCell="D59" sqref="D5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4" s="266" customFormat="1" ht="22.5">
      <c r="A1" s="263" t="s">
        <v>748</v>
      </c>
      <c r="B1" s="264"/>
      <c r="C1" s="264"/>
      <c r="D1" s="264"/>
      <c r="E1" s="264"/>
      <c r="F1" s="264"/>
      <c r="G1" s="264"/>
      <c r="H1" s="264"/>
      <c r="I1" s="264"/>
      <c r="J1" s="265"/>
    </row>
    <row r="2" spans="1:14" s="266" customFormat="1" ht="20.25">
      <c r="A2" s="264"/>
      <c r="B2" s="264"/>
      <c r="C2" s="264"/>
      <c r="D2" s="264"/>
      <c r="E2" s="264"/>
      <c r="F2" s="392" t="s">
        <v>740</v>
      </c>
      <c r="G2" s="264"/>
      <c r="H2" s="264"/>
      <c r="I2" s="264"/>
      <c r="J2" s="265"/>
    </row>
    <row r="3" spans="1:14" ht="16.5">
      <c r="A3" s="267"/>
      <c r="I3" s="749"/>
      <c r="J3" s="749"/>
    </row>
    <row r="4" spans="1:14" s="273" customFormat="1" ht="25.5" customHeight="1">
      <c r="A4" s="750" t="s">
        <v>462</v>
      </c>
      <c r="B4" s="750" t="s">
        <v>463</v>
      </c>
      <c r="C4" s="750" t="s">
        <v>464</v>
      </c>
      <c r="D4" s="753" t="s">
        <v>465</v>
      </c>
      <c r="E4" s="270" t="s">
        <v>466</v>
      </c>
      <c r="F4" s="271"/>
      <c r="G4" s="272" t="s">
        <v>467</v>
      </c>
      <c r="H4" s="272"/>
      <c r="I4" s="753" t="s">
        <v>468</v>
      </c>
      <c r="J4" s="750" t="s">
        <v>469</v>
      </c>
    </row>
    <row r="5" spans="1:14" s="273" customFormat="1" ht="25.5" customHeight="1">
      <c r="A5" s="751"/>
      <c r="B5" s="752"/>
      <c r="C5" s="751"/>
      <c r="D5" s="754"/>
      <c r="E5" s="393" t="s">
        <v>470</v>
      </c>
      <c r="F5" s="393" t="s">
        <v>471</v>
      </c>
      <c r="G5" s="393" t="s">
        <v>472</v>
      </c>
      <c r="H5" s="393" t="s">
        <v>471</v>
      </c>
      <c r="I5" s="754"/>
      <c r="J5" s="751"/>
    </row>
    <row r="6" spans="1:14" s="273" customFormat="1" ht="23.25" customHeight="1">
      <c r="A6" s="748" t="s">
        <v>749</v>
      </c>
      <c r="B6" s="301">
        <v>1</v>
      </c>
      <c r="C6" s="257">
        <v>10</v>
      </c>
      <c r="D6" s="275">
        <v>93</v>
      </c>
      <c r="E6" s="275">
        <v>6</v>
      </c>
      <c r="F6" s="275">
        <f>D6*E6</f>
        <v>558</v>
      </c>
      <c r="G6" s="276">
        <v>1.94</v>
      </c>
      <c r="H6" s="277">
        <f>ROUND(F6*G6,3)</f>
        <v>1082.52</v>
      </c>
      <c r="I6" s="278">
        <f>ROUND(3.1416*(C6/1000)^2/4*7850*1,3)</f>
        <v>0.61699999999999999</v>
      </c>
      <c r="J6" s="279">
        <f>ROUND(H6*I6,3)</f>
        <v>667.91499999999996</v>
      </c>
    </row>
    <row r="7" spans="1:14" s="273" customFormat="1" ht="23.25" customHeight="1">
      <c r="A7" s="748"/>
      <c r="B7" s="301">
        <v>2</v>
      </c>
      <c r="C7" s="257">
        <v>10</v>
      </c>
      <c r="D7" s="275">
        <v>93</v>
      </c>
      <c r="E7" s="275">
        <v>11</v>
      </c>
      <c r="F7" s="275">
        <f>D7*E7</f>
        <v>1023</v>
      </c>
      <c r="G7" s="276">
        <v>0.94</v>
      </c>
      <c r="H7" s="277">
        <f>ROUND(F7*G7,3)</f>
        <v>961.62</v>
      </c>
      <c r="I7" s="278">
        <f>ROUND(3.1416*(C7/1000)^2/4*7850*1,3)</f>
        <v>0.61699999999999999</v>
      </c>
      <c r="J7" s="279">
        <f>ROUND(H7*I7,3)</f>
        <v>593.32000000000005</v>
      </c>
      <c r="K7" s="280"/>
      <c r="L7" s="273">
        <f>11.7*I6</f>
        <v>7.2188999999999997</v>
      </c>
      <c r="M7" s="273" t="s">
        <v>750</v>
      </c>
      <c r="N7" s="273">
        <v>1</v>
      </c>
    </row>
    <row r="8" spans="1:14" s="273" customFormat="1" ht="29.25" customHeight="1">
      <c r="A8" s="748" t="s">
        <v>751</v>
      </c>
      <c r="B8" s="301">
        <v>5</v>
      </c>
      <c r="C8" s="257">
        <v>10</v>
      </c>
      <c r="D8" s="275">
        <v>62</v>
      </c>
      <c r="E8" s="275">
        <v>6</v>
      </c>
      <c r="F8" s="275">
        <f>D8*E8</f>
        <v>372</v>
      </c>
      <c r="G8" s="276">
        <v>1.94</v>
      </c>
      <c r="H8" s="277">
        <f>ROUND(F8*G8,3)</f>
        <v>721.68</v>
      </c>
      <c r="I8" s="278">
        <f>ROUND(3.1416*(C8/1000)^2/4*7850*1,3)</f>
        <v>0.61699999999999999</v>
      </c>
      <c r="J8" s="279">
        <f>ROUND(H8*I8,3)</f>
        <v>445.27699999999999</v>
      </c>
    </row>
    <row r="9" spans="1:14" s="273" customFormat="1" ht="29.25" customHeight="1">
      <c r="A9" s="748"/>
      <c r="B9" s="301">
        <v>6</v>
      </c>
      <c r="C9" s="257">
        <v>10</v>
      </c>
      <c r="D9" s="275">
        <v>62</v>
      </c>
      <c r="E9" s="275">
        <v>11</v>
      </c>
      <c r="F9" s="275">
        <f>D9*E9</f>
        <v>682</v>
      </c>
      <c r="G9" s="276">
        <v>0.94</v>
      </c>
      <c r="H9" s="277">
        <f>ROUND(F9*G9,3)</f>
        <v>641.08000000000004</v>
      </c>
      <c r="I9" s="278">
        <f>ROUND(3.1416*(C9/1000)^2/4*7850*1,3)</f>
        <v>0.61699999999999999</v>
      </c>
      <c r="J9" s="279">
        <f>ROUND(H9*I9,3)</f>
        <v>395.54599999999999</v>
      </c>
      <c r="K9" s="282"/>
    </row>
    <row r="10" spans="1:14" s="262" customFormat="1" ht="15">
      <c r="A10" s="261"/>
      <c r="B10" s="284"/>
      <c r="C10" s="284"/>
      <c r="D10" s="284"/>
      <c r="E10" s="284"/>
      <c r="F10" s="284"/>
      <c r="G10" s="285"/>
      <c r="H10" s="286"/>
      <c r="I10" s="287"/>
      <c r="J10" s="288"/>
    </row>
    <row r="11" spans="1:14" s="291" customFormat="1" ht="15">
      <c r="A11" s="261"/>
      <c r="B11" s="289" t="s">
        <v>473</v>
      </c>
      <c r="C11" s="284"/>
      <c r="D11" s="284"/>
      <c r="E11" s="284"/>
      <c r="F11" s="290"/>
      <c r="G11" s="285"/>
      <c r="H11" s="286"/>
      <c r="I11" s="287"/>
      <c r="K11" s="286"/>
    </row>
    <row r="12" spans="1:14" s="291" customFormat="1" ht="15">
      <c r="A12" s="261"/>
      <c r="B12" s="292" t="s">
        <v>752</v>
      </c>
      <c r="C12" s="284"/>
      <c r="D12" s="284"/>
      <c r="F12" s="293">
        <f>SUMIF($C$6:$C$9,10,$J$6:$J$9)</f>
        <v>2102.058</v>
      </c>
      <c r="G12" s="294" t="s">
        <v>273</v>
      </c>
      <c r="I12" s="287"/>
      <c r="K12" s="295"/>
    </row>
    <row r="13" spans="1:14" s="291" customFormat="1" ht="15">
      <c r="A13" s="261"/>
      <c r="B13" s="292"/>
      <c r="C13" s="284"/>
      <c r="D13" s="284"/>
      <c r="F13" s="293"/>
      <c r="G13" s="294"/>
      <c r="I13" s="287"/>
      <c r="K13" s="295"/>
    </row>
    <row r="14" spans="1:14" s="291" customFormat="1" ht="15">
      <c r="A14" s="261"/>
      <c r="B14" s="292"/>
      <c r="C14" s="284"/>
      <c r="D14" s="284"/>
      <c r="F14" s="293"/>
      <c r="G14" s="294"/>
      <c r="I14" s="287"/>
      <c r="K14" s="295"/>
    </row>
    <row r="15" spans="1:14" s="291" customFormat="1" ht="15">
      <c r="A15" s="261"/>
      <c r="B15" s="292"/>
      <c r="C15" s="284"/>
      <c r="D15" s="284"/>
      <c r="F15" s="293"/>
      <c r="G15" s="294"/>
      <c r="I15" s="287"/>
      <c r="K15" s="295"/>
    </row>
    <row r="16" spans="1:14" s="291" customFormat="1" ht="15">
      <c r="A16" s="261"/>
      <c r="B16" s="292"/>
      <c r="C16" s="284"/>
      <c r="D16" s="284"/>
      <c r="F16" s="293"/>
      <c r="G16" s="294"/>
      <c r="I16" s="287"/>
      <c r="K16" s="295"/>
    </row>
    <row r="17" spans="1:11" s="262" customFormat="1">
      <c r="A17" s="261"/>
      <c r="D17" s="260" t="s">
        <v>460</v>
      </c>
      <c r="E17" s="296"/>
      <c r="G17" s="297"/>
      <c r="H17" s="286"/>
      <c r="I17" s="260" t="s">
        <v>747</v>
      </c>
    </row>
    <row r="18" spans="1:11" s="262" customFormat="1">
      <c r="A18" s="261"/>
      <c r="B18" s="297"/>
      <c r="C18" s="296"/>
      <c r="D18" s="296"/>
      <c r="E18" s="296"/>
      <c r="F18" s="296"/>
      <c r="G18" s="296"/>
      <c r="H18" s="286"/>
      <c r="I18" s="260"/>
      <c r="J18" s="260"/>
    </row>
    <row r="19" spans="1:11" s="262" customFormat="1">
      <c r="A19" s="261"/>
      <c r="B19" s="297"/>
      <c r="C19" s="296"/>
      <c r="D19" s="296"/>
      <c r="E19" s="296"/>
      <c r="F19" s="296"/>
      <c r="G19" s="296"/>
      <c r="H19" s="286"/>
      <c r="I19" s="260"/>
      <c r="J19" s="260"/>
      <c r="K19" s="262" t="s">
        <v>475</v>
      </c>
    </row>
    <row r="20" spans="1:11" s="262" customFormat="1">
      <c r="A20" s="261"/>
      <c r="B20" s="297"/>
      <c r="C20" s="296"/>
      <c r="D20" s="296"/>
      <c r="E20" s="296"/>
      <c r="F20" s="296"/>
      <c r="G20" s="296"/>
      <c r="H20" s="286"/>
      <c r="I20" s="260"/>
      <c r="J20" s="260"/>
    </row>
    <row r="21" spans="1:11" s="262" customFormat="1">
      <c r="A21" s="261"/>
      <c r="B21" s="297"/>
      <c r="C21" s="296"/>
      <c r="D21" s="296"/>
      <c r="E21" s="296"/>
      <c r="F21" s="296"/>
      <c r="G21" s="296"/>
      <c r="H21" s="286"/>
      <c r="I21" s="260"/>
      <c r="J21" s="259"/>
    </row>
    <row r="22" spans="1:11" s="262" customFormat="1">
      <c r="A22" s="261"/>
      <c r="D22" s="297" t="s">
        <v>744</v>
      </c>
      <c r="E22" s="298"/>
      <c r="G22" s="297"/>
      <c r="H22" s="286"/>
      <c r="I22" s="260" t="s">
        <v>746</v>
      </c>
      <c r="J22" s="259"/>
    </row>
    <row r="26" spans="1:11" s="262" customFormat="1" ht="15">
      <c r="A26" s="261"/>
      <c r="B26" s="284"/>
      <c r="C26" s="284"/>
      <c r="D26" s="284"/>
      <c r="E26" s="284"/>
      <c r="F26" s="284"/>
      <c r="G26" s="285"/>
      <c r="H26" s="286"/>
      <c r="I26" s="287"/>
      <c r="J26" s="288"/>
    </row>
    <row r="27" spans="1:11" s="262" customFormat="1" ht="15">
      <c r="A27" s="261"/>
      <c r="B27" s="284"/>
      <c r="C27" s="284"/>
      <c r="D27" s="284"/>
      <c r="E27" s="284"/>
      <c r="F27" s="284"/>
      <c r="G27" s="285"/>
      <c r="H27" s="286"/>
      <c r="I27" s="287"/>
      <c r="J27" s="288"/>
    </row>
    <row r="28" spans="1:11" s="262" customFormat="1" ht="15">
      <c r="A28" s="261"/>
      <c r="B28" s="284"/>
      <c r="C28" s="284"/>
      <c r="D28" s="284"/>
      <c r="E28" s="284"/>
      <c r="F28" s="284"/>
      <c r="G28" s="285"/>
      <c r="H28" s="286"/>
      <c r="I28" s="287"/>
      <c r="J28" s="288"/>
    </row>
    <row r="29" spans="1:11" s="262" customFormat="1" ht="15">
      <c r="A29" s="261"/>
      <c r="B29" s="284"/>
      <c r="C29" s="284"/>
      <c r="D29" s="284"/>
      <c r="E29" s="284"/>
      <c r="F29" s="284"/>
      <c r="G29" s="285"/>
      <c r="H29" s="286"/>
      <c r="I29" s="287"/>
      <c r="J29" s="288"/>
    </row>
    <row r="30" spans="1:11" s="262" customFormat="1" ht="15">
      <c r="A30" s="261"/>
      <c r="B30" s="284"/>
      <c r="C30" s="284"/>
      <c r="D30" s="284"/>
      <c r="E30" s="284"/>
      <c r="F30" s="284"/>
      <c r="G30" s="285"/>
      <c r="H30" s="286"/>
      <c r="I30" s="287"/>
      <c r="J30" s="288"/>
    </row>
    <row r="31" spans="1:11" s="262" customFormat="1" ht="15">
      <c r="A31" s="261"/>
      <c r="B31" s="284"/>
      <c r="C31" s="284"/>
      <c r="D31" s="284"/>
      <c r="E31" s="284"/>
      <c r="F31" s="284"/>
      <c r="G31" s="285"/>
      <c r="H31" s="286"/>
      <c r="I31" s="287"/>
      <c r="J31" s="288"/>
    </row>
  </sheetData>
  <mergeCells count="9">
    <mergeCell ref="A6:A7"/>
    <mergeCell ref="A8:A9"/>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B050"/>
  </sheetPr>
  <dimension ref="A1:K37"/>
  <sheetViews>
    <sheetView topLeftCell="A7"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customWidth="1"/>
    <col min="14" max="14" width="15" style="269" customWidth="1"/>
    <col min="15" max="16384" width="9.140625" style="269"/>
  </cols>
  <sheetData>
    <row r="1" spans="1:11" s="266" customFormat="1" ht="22.5">
      <c r="A1" s="263" t="s">
        <v>837</v>
      </c>
      <c r="B1" s="264"/>
      <c r="C1" s="264"/>
      <c r="D1" s="264"/>
      <c r="E1" s="264"/>
      <c r="F1" s="264"/>
      <c r="G1" s="264"/>
      <c r="H1" s="264"/>
      <c r="I1" s="264"/>
      <c r="J1" s="265"/>
    </row>
    <row r="2" spans="1:11" s="266" customFormat="1" ht="20.25">
      <c r="A2" s="264"/>
      <c r="B2" s="264"/>
      <c r="C2" s="264"/>
      <c r="D2" s="264"/>
      <c r="E2" s="264"/>
      <c r="F2" s="392"/>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488" t="s">
        <v>470</v>
      </c>
      <c r="F5" s="488" t="s">
        <v>471</v>
      </c>
      <c r="G5" s="488" t="s">
        <v>472</v>
      </c>
      <c r="H5" s="488" t="s">
        <v>471</v>
      </c>
      <c r="I5" s="754"/>
      <c r="J5" s="751"/>
    </row>
    <row r="6" spans="1:11" s="273" customFormat="1" ht="15">
      <c r="A6" s="748" t="s">
        <v>755</v>
      </c>
      <c r="B6" s="301">
        <v>14</v>
      </c>
      <c r="C6" s="257">
        <v>18</v>
      </c>
      <c r="D6" s="275">
        <v>1</v>
      </c>
      <c r="E6" s="275">
        <v>74</v>
      </c>
      <c r="F6" s="275">
        <f t="shared" ref="F6:F12" si="0">D6*E6</f>
        <v>74</v>
      </c>
      <c r="G6" s="276">
        <v>5.55</v>
      </c>
      <c r="H6" s="277">
        <f t="shared" ref="H6:H12" si="1">ROUND(F6*G6,3)</f>
        <v>410.7</v>
      </c>
      <c r="I6" s="278">
        <f t="shared" ref="I6:I12" si="2">ROUND(3.1416*(C6/1000)^2/4*7850*1,3)</f>
        <v>1.998</v>
      </c>
      <c r="J6" s="279">
        <f t="shared" ref="J6:J12" si="3">ROUND(H6*I6,3)</f>
        <v>820.57899999999995</v>
      </c>
    </row>
    <row r="7" spans="1:11" s="273" customFormat="1" ht="15">
      <c r="A7" s="748"/>
      <c r="B7" s="301">
        <f>+B6+1</f>
        <v>15</v>
      </c>
      <c r="C7" s="257">
        <v>12</v>
      </c>
      <c r="D7" s="275">
        <f>+D6</f>
        <v>1</v>
      </c>
      <c r="E7" s="275">
        <v>34</v>
      </c>
      <c r="F7" s="275">
        <f t="shared" si="0"/>
        <v>34</v>
      </c>
      <c r="G7" s="276">
        <v>7.15</v>
      </c>
      <c r="H7" s="277">
        <f t="shared" si="1"/>
        <v>243.1</v>
      </c>
      <c r="I7" s="278">
        <f t="shared" si="2"/>
        <v>0.88800000000000001</v>
      </c>
      <c r="J7" s="279">
        <f t="shared" si="3"/>
        <v>215.87299999999999</v>
      </c>
      <c r="K7" s="280"/>
    </row>
    <row r="8" spans="1:11" s="281" customFormat="1" ht="15">
      <c r="A8" s="748"/>
      <c r="B8" s="301">
        <f>+B7+1</f>
        <v>16</v>
      </c>
      <c r="C8" s="257">
        <v>12</v>
      </c>
      <c r="D8" s="275">
        <f>+D7</f>
        <v>1</v>
      </c>
      <c r="E8" s="275">
        <v>8</v>
      </c>
      <c r="F8" s="275">
        <f t="shared" si="0"/>
        <v>8</v>
      </c>
      <c r="G8" s="276">
        <v>4.3499999999999996</v>
      </c>
      <c r="H8" s="277">
        <f t="shared" si="1"/>
        <v>34.799999999999997</v>
      </c>
      <c r="I8" s="278">
        <f t="shared" si="2"/>
        <v>0.88800000000000001</v>
      </c>
      <c r="J8" s="279">
        <f t="shared" si="3"/>
        <v>30.902000000000001</v>
      </c>
    </row>
    <row r="9" spans="1:11" s="273" customFormat="1" ht="15">
      <c r="A9" s="748"/>
      <c r="B9" s="301">
        <f>+B8+1</f>
        <v>17</v>
      </c>
      <c r="C9" s="257">
        <v>12</v>
      </c>
      <c r="D9" s="275">
        <f>+D8</f>
        <v>1</v>
      </c>
      <c r="E9" s="275">
        <v>46</v>
      </c>
      <c r="F9" s="275">
        <f t="shared" si="0"/>
        <v>46</v>
      </c>
      <c r="G9" s="276">
        <v>1.9</v>
      </c>
      <c r="H9" s="277">
        <f t="shared" si="1"/>
        <v>87.4</v>
      </c>
      <c r="I9" s="278">
        <f t="shared" si="2"/>
        <v>0.88800000000000001</v>
      </c>
      <c r="J9" s="279">
        <f t="shared" si="3"/>
        <v>77.611000000000004</v>
      </c>
    </row>
    <row r="10" spans="1:11" s="273" customFormat="1" ht="15">
      <c r="A10" s="748"/>
      <c r="B10" s="301">
        <f>+B9+1</f>
        <v>18</v>
      </c>
      <c r="C10" s="257">
        <v>12</v>
      </c>
      <c r="D10" s="275">
        <f>+D9</f>
        <v>1</v>
      </c>
      <c r="E10" s="275">
        <v>46</v>
      </c>
      <c r="F10" s="275">
        <f t="shared" si="0"/>
        <v>46</v>
      </c>
      <c r="G10" s="276">
        <v>0.77</v>
      </c>
      <c r="H10" s="277">
        <f t="shared" si="1"/>
        <v>35.42</v>
      </c>
      <c r="I10" s="278">
        <f t="shared" si="2"/>
        <v>0.88800000000000001</v>
      </c>
      <c r="J10" s="279">
        <f t="shared" si="3"/>
        <v>31.452999999999999</v>
      </c>
    </row>
    <row r="11" spans="1:11" s="273" customFormat="1" ht="27.75" customHeight="1">
      <c r="A11" s="748" t="s">
        <v>756</v>
      </c>
      <c r="B11" s="301">
        <v>66</v>
      </c>
      <c r="C11" s="257">
        <v>6</v>
      </c>
      <c r="D11" s="275">
        <v>1</v>
      </c>
      <c r="E11" s="275">
        <v>43</v>
      </c>
      <c r="F11" s="275">
        <f t="shared" si="0"/>
        <v>43</v>
      </c>
      <c r="G11" s="276">
        <v>6.69</v>
      </c>
      <c r="H11" s="277">
        <f t="shared" si="1"/>
        <v>287.67</v>
      </c>
      <c r="I11" s="278">
        <f t="shared" si="2"/>
        <v>0.222</v>
      </c>
      <c r="J11" s="279">
        <f t="shared" si="3"/>
        <v>63.863</v>
      </c>
    </row>
    <row r="12" spans="1:11" s="273" customFormat="1" ht="27.75" customHeight="1">
      <c r="A12" s="748"/>
      <c r="B12" s="301">
        <v>67</v>
      </c>
      <c r="C12" s="257">
        <v>6</v>
      </c>
      <c r="D12" s="275">
        <v>1</v>
      </c>
      <c r="E12" s="275">
        <v>67</v>
      </c>
      <c r="F12" s="275">
        <f t="shared" si="0"/>
        <v>67</v>
      </c>
      <c r="G12" s="276">
        <v>4.49</v>
      </c>
      <c r="H12" s="277">
        <f t="shared" si="1"/>
        <v>300.83</v>
      </c>
      <c r="I12" s="278">
        <f t="shared" si="2"/>
        <v>0.222</v>
      </c>
      <c r="J12" s="279">
        <f t="shared" si="3"/>
        <v>66.784000000000006</v>
      </c>
    </row>
    <row r="13" spans="1:11" s="273" customFormat="1" ht="15">
      <c r="A13" s="261"/>
      <c r="B13" s="394"/>
      <c r="C13" s="395"/>
      <c r="D13" s="284"/>
      <c r="E13" s="284"/>
      <c r="F13" s="284"/>
      <c r="G13" s="285"/>
      <c r="H13" s="286"/>
      <c r="I13" s="287"/>
      <c r="J13" s="288"/>
    </row>
    <row r="14" spans="1:11" s="291" customFormat="1" ht="15">
      <c r="A14" s="261"/>
      <c r="B14" s="289" t="s">
        <v>473</v>
      </c>
      <c r="C14" s="284"/>
      <c r="D14" s="284"/>
      <c r="E14" s="284"/>
      <c r="F14" s="290"/>
      <c r="G14" s="285"/>
      <c r="H14" s="286"/>
      <c r="I14" s="287"/>
      <c r="K14" s="286"/>
    </row>
    <row r="15" spans="1:11" s="291" customFormat="1" ht="15">
      <c r="A15" s="261"/>
      <c r="B15" s="292" t="s">
        <v>474</v>
      </c>
      <c r="C15" s="284"/>
      <c r="D15" s="284"/>
      <c r="F15" s="293">
        <f>SUMIF($C$6:$C$12,6,$J$6:$J$12)</f>
        <v>130.64699999999999</v>
      </c>
      <c r="G15" s="294" t="s">
        <v>273</v>
      </c>
      <c r="I15" s="287"/>
      <c r="K15" s="295"/>
    </row>
    <row r="16" spans="1:11" s="291" customFormat="1" ht="15">
      <c r="A16" s="261"/>
      <c r="B16" s="292" t="s">
        <v>754</v>
      </c>
      <c r="C16" s="284"/>
      <c r="D16" s="284"/>
      <c r="F16" s="293">
        <f>SUMIF($C$6:$C$12,12,$J$6:$J$12)</f>
        <v>355.83899999999994</v>
      </c>
      <c r="G16" s="294" t="s">
        <v>273</v>
      </c>
      <c r="I16" s="287"/>
      <c r="K16" s="295"/>
    </row>
    <row r="17" spans="1:11" s="291" customFormat="1" ht="15">
      <c r="A17" s="261"/>
      <c r="B17" s="292" t="s">
        <v>742</v>
      </c>
      <c r="C17" s="284"/>
      <c r="D17" s="284"/>
      <c r="F17" s="293">
        <f>SUMIF($C$6:$C$12,18,$J$6:$J$12)</f>
        <v>820.57899999999995</v>
      </c>
      <c r="G17" s="294" t="s">
        <v>273</v>
      </c>
      <c r="I17" s="287"/>
      <c r="K17" s="295"/>
    </row>
    <row r="18" spans="1:11" s="291" customFormat="1" ht="15">
      <c r="A18" s="261"/>
      <c r="B18" s="292"/>
      <c r="C18" s="284"/>
      <c r="D18" s="284"/>
      <c r="F18" s="293"/>
      <c r="G18" s="294"/>
      <c r="I18" s="287"/>
      <c r="K18" s="295"/>
    </row>
    <row r="19" spans="1:11" s="291" customFormat="1" ht="15">
      <c r="A19" s="261"/>
      <c r="B19" s="292"/>
      <c r="C19" s="284"/>
      <c r="D19" s="284"/>
      <c r="F19" s="293"/>
      <c r="G19" s="294"/>
      <c r="I19" s="287"/>
      <c r="K19" s="295"/>
    </row>
    <row r="20" spans="1:11" s="291" customFormat="1" ht="15">
      <c r="A20" s="261"/>
      <c r="B20" s="292"/>
      <c r="C20" s="284"/>
      <c r="D20" s="284"/>
      <c r="F20" s="293"/>
      <c r="G20" s="294"/>
      <c r="I20" s="287"/>
      <c r="K20" s="295"/>
    </row>
    <row r="21" spans="1:11" s="291" customFormat="1" ht="15">
      <c r="A21" s="261"/>
      <c r="B21" s="292"/>
      <c r="C21" s="284"/>
      <c r="D21" s="284"/>
      <c r="F21" s="293"/>
      <c r="G21" s="294"/>
      <c r="I21" s="287"/>
      <c r="K21" s="295"/>
    </row>
    <row r="22" spans="1:11" s="291" customFormat="1" ht="15">
      <c r="A22" s="261"/>
      <c r="B22" s="292"/>
      <c r="C22" s="284"/>
      <c r="D22" s="284"/>
      <c r="F22" s="293"/>
      <c r="G22" s="294"/>
      <c r="I22" s="287"/>
      <c r="K22" s="295"/>
    </row>
    <row r="23" spans="1:11" s="262" customFormat="1">
      <c r="A23" s="261"/>
      <c r="D23" s="260" t="s">
        <v>460</v>
      </c>
      <c r="E23" s="296"/>
      <c r="G23" s="297"/>
      <c r="H23" s="286"/>
      <c r="I23" s="260" t="s">
        <v>747</v>
      </c>
    </row>
    <row r="24" spans="1:11" s="262" customFormat="1">
      <c r="A24" s="261"/>
      <c r="B24" s="297"/>
      <c r="C24" s="296"/>
      <c r="D24" s="296"/>
      <c r="E24" s="296"/>
      <c r="F24" s="296"/>
      <c r="G24" s="296"/>
      <c r="H24" s="286"/>
      <c r="I24" s="260"/>
      <c r="J24" s="260"/>
    </row>
    <row r="25" spans="1:11" s="262" customFormat="1">
      <c r="A25" s="261"/>
      <c r="B25" s="297"/>
      <c r="C25" s="296"/>
      <c r="D25" s="296"/>
      <c r="E25" s="296"/>
      <c r="F25" s="296"/>
      <c r="G25" s="296"/>
      <c r="H25" s="286"/>
      <c r="I25" s="260"/>
      <c r="J25" s="260"/>
      <c r="K25" s="262" t="s">
        <v>475</v>
      </c>
    </row>
    <row r="26" spans="1:11" s="262" customFormat="1">
      <c r="A26" s="261"/>
      <c r="B26" s="297"/>
      <c r="C26" s="296"/>
      <c r="D26" s="296"/>
      <c r="E26" s="296"/>
      <c r="F26" s="296"/>
      <c r="G26" s="296"/>
      <c r="H26" s="286"/>
      <c r="I26" s="260"/>
      <c r="J26" s="260"/>
    </row>
    <row r="27" spans="1:11" s="262" customFormat="1">
      <c r="A27" s="261"/>
      <c r="B27" s="297"/>
      <c r="C27" s="296"/>
      <c r="D27" s="296"/>
      <c r="E27" s="296"/>
      <c r="F27" s="296"/>
      <c r="G27" s="296"/>
      <c r="H27" s="286"/>
      <c r="I27" s="260"/>
      <c r="J27" s="259"/>
    </row>
    <row r="28" spans="1:11" s="262" customFormat="1">
      <c r="A28" s="261"/>
      <c r="D28" s="297" t="s">
        <v>744</v>
      </c>
      <c r="E28" s="298"/>
      <c r="G28" s="297"/>
      <c r="H28" s="286"/>
      <c r="I28" s="260" t="s">
        <v>746</v>
      </c>
      <c r="J28" s="259"/>
    </row>
    <row r="32" spans="1:11"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row r="35" spans="1:10" s="262" customFormat="1" ht="15">
      <c r="A35" s="261"/>
      <c r="B35" s="284"/>
      <c r="C35" s="284"/>
      <c r="D35" s="284"/>
      <c r="E35" s="284"/>
      <c r="F35" s="284"/>
      <c r="G35" s="285"/>
      <c r="H35" s="286"/>
      <c r="I35" s="287"/>
      <c r="J35" s="288"/>
    </row>
    <row r="36" spans="1:10" s="262" customFormat="1" ht="15">
      <c r="A36" s="261"/>
      <c r="B36" s="284"/>
      <c r="C36" s="284"/>
      <c r="D36" s="284"/>
      <c r="E36" s="284"/>
      <c r="F36" s="284"/>
      <c r="G36" s="285"/>
      <c r="H36" s="286"/>
      <c r="I36" s="287"/>
      <c r="J36" s="288"/>
    </row>
    <row r="37" spans="1:10" s="262" customFormat="1" ht="15">
      <c r="A37" s="261"/>
      <c r="B37" s="284"/>
      <c r="C37" s="284"/>
      <c r="D37" s="284"/>
      <c r="E37" s="284"/>
      <c r="F37" s="284"/>
      <c r="G37" s="285"/>
      <c r="H37" s="286"/>
      <c r="I37" s="287"/>
      <c r="J37" s="288"/>
    </row>
  </sheetData>
  <mergeCells count="9">
    <mergeCell ref="A6:A10"/>
    <mergeCell ref="A11:A12"/>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00B050"/>
  </sheetPr>
  <dimension ref="A1:L53"/>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customWidth="1"/>
    <col min="14" max="14" width="15" style="269" bestFit="1" customWidth="1"/>
    <col min="15" max="16384" width="9.140625" style="269"/>
  </cols>
  <sheetData>
    <row r="1" spans="1:12" s="266" customFormat="1" ht="22.5">
      <c r="A1" s="263" t="s">
        <v>809</v>
      </c>
      <c r="B1" s="264"/>
      <c r="C1" s="264"/>
      <c r="D1" s="264"/>
      <c r="E1" s="264"/>
      <c r="F1" s="264"/>
      <c r="G1" s="264"/>
      <c r="H1" s="264"/>
      <c r="I1" s="264"/>
      <c r="J1" s="265"/>
    </row>
    <row r="2" spans="1:12" s="266" customFormat="1" ht="20.25">
      <c r="A2" s="264"/>
      <c r="B2" s="264"/>
      <c r="C2" s="264"/>
      <c r="D2" s="264"/>
      <c r="E2" s="264"/>
      <c r="F2" s="392" t="s">
        <v>743</v>
      </c>
      <c r="G2" s="264"/>
      <c r="H2" s="264"/>
      <c r="I2" s="264"/>
      <c r="J2" s="265"/>
    </row>
    <row r="3" spans="1:12" ht="16.5">
      <c r="A3" s="267"/>
      <c r="I3" s="749"/>
      <c r="J3" s="749"/>
    </row>
    <row r="4" spans="1:12" s="273" customFormat="1" ht="23.25" customHeight="1">
      <c r="A4" s="750" t="s">
        <v>462</v>
      </c>
      <c r="B4" s="750" t="s">
        <v>463</v>
      </c>
      <c r="C4" s="750" t="s">
        <v>464</v>
      </c>
      <c r="D4" s="753" t="s">
        <v>465</v>
      </c>
      <c r="E4" s="755" t="s">
        <v>466</v>
      </c>
      <c r="F4" s="756"/>
      <c r="G4" s="757" t="s">
        <v>467</v>
      </c>
      <c r="H4" s="758"/>
      <c r="I4" s="753" t="s">
        <v>468</v>
      </c>
      <c r="J4" s="750" t="s">
        <v>469</v>
      </c>
    </row>
    <row r="5" spans="1:12" s="273" customFormat="1" ht="20.25" customHeight="1">
      <c r="A5" s="751"/>
      <c r="B5" s="752"/>
      <c r="C5" s="751"/>
      <c r="D5" s="754"/>
      <c r="E5" s="462" t="s">
        <v>470</v>
      </c>
      <c r="F5" s="462" t="s">
        <v>471</v>
      </c>
      <c r="G5" s="462" t="s">
        <v>472</v>
      </c>
      <c r="H5" s="462" t="s">
        <v>471</v>
      </c>
      <c r="I5" s="754"/>
      <c r="J5" s="751"/>
    </row>
    <row r="6" spans="1:12" s="273" customFormat="1" ht="15">
      <c r="A6" s="748" t="s">
        <v>810</v>
      </c>
      <c r="B6" s="301">
        <v>1</v>
      </c>
      <c r="C6" s="257">
        <v>18</v>
      </c>
      <c r="D6" s="275">
        <v>2</v>
      </c>
      <c r="E6" s="275">
        <v>4</v>
      </c>
      <c r="F6" s="275">
        <f t="shared" ref="F6:F28" si="0">D6*E6</f>
        <v>8</v>
      </c>
      <c r="G6" s="276">
        <f>1.15+6.17</f>
        <v>7.32</v>
      </c>
      <c r="H6" s="277">
        <f t="shared" ref="H6:H28" si="1">ROUND(F6*G6,3)</f>
        <v>58.56</v>
      </c>
      <c r="I6" s="278">
        <f t="shared" ref="I6:I28" si="2">ROUND(3.1416*(C6/1000)^2/4*7850*1,3)</f>
        <v>1.998</v>
      </c>
      <c r="J6" s="279">
        <f t="shared" ref="J6:J28" si="3">ROUND(H6*I6,3)</f>
        <v>117.003</v>
      </c>
      <c r="L6" s="273">
        <f>3.8+1.8</f>
        <v>5.6</v>
      </c>
    </row>
    <row r="7" spans="1:12" s="273" customFormat="1" ht="15">
      <c r="A7" s="748"/>
      <c r="B7" s="301">
        <v>2</v>
      </c>
      <c r="C7" s="257">
        <v>18</v>
      </c>
      <c r="D7" s="275">
        <v>2</v>
      </c>
      <c r="E7" s="275">
        <v>14</v>
      </c>
      <c r="F7" s="275">
        <f t="shared" si="0"/>
        <v>28</v>
      </c>
      <c r="G7" s="276">
        <v>3.98</v>
      </c>
      <c r="H7" s="277">
        <f t="shared" si="1"/>
        <v>111.44</v>
      </c>
      <c r="I7" s="278">
        <f t="shared" si="2"/>
        <v>1.998</v>
      </c>
      <c r="J7" s="279">
        <f t="shared" si="3"/>
        <v>222.65700000000001</v>
      </c>
      <c r="K7" s="280"/>
    </row>
    <row r="8" spans="1:12" s="281" customFormat="1" ht="15">
      <c r="A8" s="748"/>
      <c r="B8" s="301">
        <v>3</v>
      </c>
      <c r="C8" s="257">
        <v>18</v>
      </c>
      <c r="D8" s="275">
        <v>2</v>
      </c>
      <c r="E8" s="275">
        <v>2</v>
      </c>
      <c r="F8" s="275">
        <f t="shared" si="0"/>
        <v>4</v>
      </c>
      <c r="G8" s="276">
        <v>8.3699999999999992</v>
      </c>
      <c r="H8" s="277">
        <f t="shared" si="1"/>
        <v>33.479999999999997</v>
      </c>
      <c r="I8" s="278">
        <f t="shared" si="2"/>
        <v>1.998</v>
      </c>
      <c r="J8" s="279">
        <f t="shared" si="3"/>
        <v>66.893000000000001</v>
      </c>
    </row>
    <row r="9" spans="1:12" s="273" customFormat="1" ht="15">
      <c r="A9" s="748"/>
      <c r="B9" s="301">
        <v>4</v>
      </c>
      <c r="C9" s="257">
        <v>12</v>
      </c>
      <c r="D9" s="275">
        <v>2</v>
      </c>
      <c r="E9" s="275">
        <v>64</v>
      </c>
      <c r="F9" s="275">
        <f t="shared" si="0"/>
        <v>128</v>
      </c>
      <c r="G9" s="276">
        <v>1.1399999999999999</v>
      </c>
      <c r="H9" s="451">
        <f t="shared" si="1"/>
        <v>145.91999999999999</v>
      </c>
      <c r="I9" s="278">
        <f t="shared" si="2"/>
        <v>0.88800000000000001</v>
      </c>
      <c r="J9" s="279">
        <f t="shared" si="3"/>
        <v>129.577</v>
      </c>
    </row>
    <row r="10" spans="1:12" s="273" customFormat="1" ht="15">
      <c r="A10" s="748"/>
      <c r="B10" s="301">
        <v>5</v>
      </c>
      <c r="C10" s="257">
        <v>12</v>
      </c>
      <c r="D10" s="275">
        <v>2</v>
      </c>
      <c r="E10" s="275">
        <v>6</v>
      </c>
      <c r="F10" s="275">
        <f t="shared" si="0"/>
        <v>12</v>
      </c>
      <c r="G10" s="276">
        <v>0.86</v>
      </c>
      <c r="H10" s="277">
        <f t="shared" si="1"/>
        <v>10.32</v>
      </c>
      <c r="I10" s="278">
        <f t="shared" si="2"/>
        <v>0.88800000000000001</v>
      </c>
      <c r="J10" s="279">
        <f t="shared" si="3"/>
        <v>9.1639999999999997</v>
      </c>
    </row>
    <row r="11" spans="1:12" s="273" customFormat="1" ht="15">
      <c r="A11" s="748"/>
      <c r="B11" s="301">
        <v>6</v>
      </c>
      <c r="C11" s="257">
        <v>12</v>
      </c>
      <c r="D11" s="275">
        <v>2</v>
      </c>
      <c r="E11" s="275">
        <v>2</v>
      </c>
      <c r="F11" s="275">
        <f t="shared" si="0"/>
        <v>4</v>
      </c>
      <c r="G11" s="276">
        <v>2.11</v>
      </c>
      <c r="H11" s="277">
        <f t="shared" si="1"/>
        <v>8.44</v>
      </c>
      <c r="I11" s="278">
        <f t="shared" si="2"/>
        <v>0.88800000000000001</v>
      </c>
      <c r="J11" s="279">
        <f t="shared" si="3"/>
        <v>7.4950000000000001</v>
      </c>
      <c r="L11" s="282"/>
    </row>
    <row r="12" spans="1:12" s="273" customFormat="1" ht="15">
      <c r="A12" s="748"/>
      <c r="B12" s="301">
        <v>7</v>
      </c>
      <c r="C12" s="257">
        <v>18</v>
      </c>
      <c r="D12" s="275">
        <v>2</v>
      </c>
      <c r="E12" s="275">
        <v>8</v>
      </c>
      <c r="F12" s="275">
        <f t="shared" si="0"/>
        <v>16</v>
      </c>
      <c r="G12" s="276">
        <v>7.01</v>
      </c>
      <c r="H12" s="277">
        <f t="shared" si="1"/>
        <v>112.16</v>
      </c>
      <c r="I12" s="278">
        <f t="shared" si="2"/>
        <v>1.998</v>
      </c>
      <c r="J12" s="279">
        <f t="shared" si="3"/>
        <v>224.096</v>
      </c>
    </row>
    <row r="13" spans="1:12" s="273" customFormat="1" ht="15">
      <c r="A13" s="748"/>
      <c r="B13" s="301">
        <v>8</v>
      </c>
      <c r="C13" s="257">
        <v>18</v>
      </c>
      <c r="D13" s="275">
        <f t="shared" ref="D13:D27" si="4">+D12</f>
        <v>2</v>
      </c>
      <c r="E13" s="275">
        <v>10</v>
      </c>
      <c r="F13" s="275">
        <f t="shared" si="0"/>
        <v>20</v>
      </c>
      <c r="G13" s="276">
        <v>4.4000000000000004</v>
      </c>
      <c r="H13" s="277">
        <f t="shared" si="1"/>
        <v>88</v>
      </c>
      <c r="I13" s="278">
        <f t="shared" si="2"/>
        <v>1.998</v>
      </c>
      <c r="J13" s="279">
        <f t="shared" si="3"/>
        <v>175.82400000000001</v>
      </c>
    </row>
    <row r="14" spans="1:12" s="273" customFormat="1" ht="15">
      <c r="A14" s="748"/>
      <c r="B14" s="301">
        <v>9</v>
      </c>
      <c r="C14" s="257">
        <v>12</v>
      </c>
      <c r="D14" s="275">
        <f t="shared" si="4"/>
        <v>2</v>
      </c>
      <c r="E14" s="275">
        <v>58</v>
      </c>
      <c r="F14" s="275">
        <f t="shared" si="0"/>
        <v>116</v>
      </c>
      <c r="G14" s="276">
        <v>2.38</v>
      </c>
      <c r="H14" s="277">
        <f t="shared" si="1"/>
        <v>276.08</v>
      </c>
      <c r="I14" s="278">
        <f t="shared" si="2"/>
        <v>0.88800000000000001</v>
      </c>
      <c r="J14" s="279">
        <f t="shared" si="3"/>
        <v>245.15899999999999</v>
      </c>
    </row>
    <row r="15" spans="1:12" s="273" customFormat="1" ht="15">
      <c r="A15" s="748"/>
      <c r="B15" s="301">
        <v>10</v>
      </c>
      <c r="C15" s="257">
        <v>12</v>
      </c>
      <c r="D15" s="275">
        <f t="shared" si="4"/>
        <v>2</v>
      </c>
      <c r="E15" s="275">
        <v>10</v>
      </c>
      <c r="F15" s="275">
        <f t="shared" si="0"/>
        <v>20</v>
      </c>
      <c r="G15" s="276">
        <v>3.6</v>
      </c>
      <c r="H15" s="277">
        <f t="shared" si="1"/>
        <v>72</v>
      </c>
      <c r="I15" s="278">
        <f t="shared" si="2"/>
        <v>0.88800000000000001</v>
      </c>
      <c r="J15" s="279">
        <f t="shared" si="3"/>
        <v>63.936</v>
      </c>
    </row>
    <row r="16" spans="1:12" s="273" customFormat="1" ht="15">
      <c r="A16" s="748"/>
      <c r="B16" s="301">
        <v>11</v>
      </c>
      <c r="C16" s="257">
        <v>12</v>
      </c>
      <c r="D16" s="275">
        <f t="shared" si="4"/>
        <v>2</v>
      </c>
      <c r="E16" s="275">
        <v>8</v>
      </c>
      <c r="F16" s="275">
        <f t="shared" si="0"/>
        <v>16</v>
      </c>
      <c r="G16" s="276">
        <v>6.9</v>
      </c>
      <c r="H16" s="277">
        <f t="shared" si="1"/>
        <v>110.4</v>
      </c>
      <c r="I16" s="278">
        <f t="shared" si="2"/>
        <v>0.88800000000000001</v>
      </c>
      <c r="J16" s="279">
        <f t="shared" si="3"/>
        <v>98.034999999999997</v>
      </c>
    </row>
    <row r="17" spans="1:11" s="273" customFormat="1" ht="15">
      <c r="A17" s="748"/>
      <c r="B17" s="301">
        <v>12</v>
      </c>
      <c r="C17" s="257">
        <v>12</v>
      </c>
      <c r="D17" s="275">
        <f t="shared" si="4"/>
        <v>2</v>
      </c>
      <c r="E17" s="275">
        <v>10</v>
      </c>
      <c r="F17" s="275">
        <f t="shared" si="0"/>
        <v>20</v>
      </c>
      <c r="G17" s="276">
        <v>4.34</v>
      </c>
      <c r="H17" s="277">
        <f t="shared" si="1"/>
        <v>86.8</v>
      </c>
      <c r="I17" s="278">
        <f t="shared" si="2"/>
        <v>0.88800000000000001</v>
      </c>
      <c r="J17" s="279">
        <f t="shared" si="3"/>
        <v>77.078000000000003</v>
      </c>
    </row>
    <row r="18" spans="1:11" s="273" customFormat="1" ht="15">
      <c r="A18" s="748"/>
      <c r="B18" s="301">
        <v>13</v>
      </c>
      <c r="C18" s="257">
        <v>10</v>
      </c>
      <c r="D18" s="275">
        <v>2</v>
      </c>
      <c r="E18" s="275">
        <v>6</v>
      </c>
      <c r="F18" s="275">
        <f t="shared" si="0"/>
        <v>12</v>
      </c>
      <c r="G18" s="276">
        <v>5.4</v>
      </c>
      <c r="H18" s="277">
        <f t="shared" si="1"/>
        <v>64.8</v>
      </c>
      <c r="I18" s="278">
        <f t="shared" si="2"/>
        <v>0.61699999999999999</v>
      </c>
      <c r="J18" s="279">
        <f t="shared" si="3"/>
        <v>39.981999999999999</v>
      </c>
    </row>
    <row r="19" spans="1:11" s="273" customFormat="1" ht="15">
      <c r="A19" s="748"/>
      <c r="B19" s="301">
        <v>14</v>
      </c>
      <c r="C19" s="257">
        <v>10</v>
      </c>
      <c r="D19" s="275">
        <f t="shared" si="4"/>
        <v>2</v>
      </c>
      <c r="E19" s="275">
        <v>18</v>
      </c>
      <c r="F19" s="275">
        <f t="shared" si="0"/>
        <v>36</v>
      </c>
      <c r="G19" s="276">
        <v>4.1100000000000003</v>
      </c>
      <c r="H19" s="277">
        <f t="shared" si="1"/>
        <v>147.96</v>
      </c>
      <c r="I19" s="278">
        <f t="shared" si="2"/>
        <v>0.61699999999999999</v>
      </c>
      <c r="J19" s="279">
        <f t="shared" si="3"/>
        <v>91.290999999999997</v>
      </c>
    </row>
    <row r="20" spans="1:11" s="273" customFormat="1" ht="15">
      <c r="A20" s="748"/>
      <c r="B20" s="301">
        <v>15</v>
      </c>
      <c r="C20" s="257">
        <v>16</v>
      </c>
      <c r="D20" s="275">
        <f t="shared" si="4"/>
        <v>2</v>
      </c>
      <c r="E20" s="275">
        <v>16</v>
      </c>
      <c r="F20" s="275">
        <f t="shared" si="0"/>
        <v>32</v>
      </c>
      <c r="G20" s="276">
        <v>2.5</v>
      </c>
      <c r="H20" s="277">
        <f t="shared" si="1"/>
        <v>80</v>
      </c>
      <c r="I20" s="278">
        <f t="shared" si="2"/>
        <v>1.5780000000000001</v>
      </c>
      <c r="J20" s="279">
        <f t="shared" si="3"/>
        <v>126.24</v>
      </c>
    </row>
    <row r="21" spans="1:11" s="273" customFormat="1" ht="15">
      <c r="A21" s="748"/>
      <c r="B21" s="301">
        <v>16</v>
      </c>
      <c r="C21" s="257">
        <v>16</v>
      </c>
      <c r="D21" s="275">
        <f t="shared" si="4"/>
        <v>2</v>
      </c>
      <c r="E21" s="275">
        <v>12</v>
      </c>
      <c r="F21" s="275">
        <f t="shared" si="0"/>
        <v>24</v>
      </c>
      <c r="G21" s="276">
        <v>1.21</v>
      </c>
      <c r="H21" s="277">
        <f t="shared" si="1"/>
        <v>29.04</v>
      </c>
      <c r="I21" s="278">
        <f t="shared" si="2"/>
        <v>1.5780000000000001</v>
      </c>
      <c r="J21" s="279">
        <f t="shared" si="3"/>
        <v>45.825000000000003</v>
      </c>
    </row>
    <row r="22" spans="1:11" s="273" customFormat="1" ht="15">
      <c r="A22" s="748"/>
      <c r="B22" s="301">
        <v>17</v>
      </c>
      <c r="C22" s="257">
        <v>10</v>
      </c>
      <c r="D22" s="275">
        <f t="shared" si="4"/>
        <v>2</v>
      </c>
      <c r="E22" s="275">
        <v>16</v>
      </c>
      <c r="F22" s="275">
        <f t="shared" si="0"/>
        <v>32</v>
      </c>
      <c r="G22" s="276">
        <v>2.5</v>
      </c>
      <c r="H22" s="277">
        <f t="shared" si="1"/>
        <v>80</v>
      </c>
      <c r="I22" s="278">
        <f t="shared" si="2"/>
        <v>0.61699999999999999</v>
      </c>
      <c r="J22" s="279">
        <f t="shared" si="3"/>
        <v>49.36</v>
      </c>
    </row>
    <row r="23" spans="1:11" s="273" customFormat="1" ht="15">
      <c r="A23" s="748"/>
      <c r="B23" s="301">
        <v>18</v>
      </c>
      <c r="C23" s="257">
        <v>10</v>
      </c>
      <c r="D23" s="275">
        <f t="shared" si="4"/>
        <v>2</v>
      </c>
      <c r="E23" s="275">
        <v>12</v>
      </c>
      <c r="F23" s="275">
        <f t="shared" si="0"/>
        <v>24</v>
      </c>
      <c r="G23" s="276">
        <v>1.21</v>
      </c>
      <c r="H23" s="277">
        <f t="shared" si="1"/>
        <v>29.04</v>
      </c>
      <c r="I23" s="278">
        <f t="shared" si="2"/>
        <v>0.61699999999999999</v>
      </c>
      <c r="J23" s="279">
        <f t="shared" si="3"/>
        <v>17.917999999999999</v>
      </c>
    </row>
    <row r="24" spans="1:11" s="273" customFormat="1" ht="15">
      <c r="A24" s="748"/>
      <c r="B24" s="301">
        <v>19</v>
      </c>
      <c r="C24" s="257">
        <v>10</v>
      </c>
      <c r="D24" s="275">
        <f t="shared" si="4"/>
        <v>2</v>
      </c>
      <c r="E24" s="275">
        <v>20</v>
      </c>
      <c r="F24" s="275">
        <f t="shared" si="0"/>
        <v>40</v>
      </c>
      <c r="G24" s="276">
        <v>2.9</v>
      </c>
      <c r="H24" s="277">
        <f t="shared" si="1"/>
        <v>116</v>
      </c>
      <c r="I24" s="278">
        <f t="shared" si="2"/>
        <v>0.61699999999999999</v>
      </c>
      <c r="J24" s="279">
        <f t="shared" si="3"/>
        <v>71.572000000000003</v>
      </c>
    </row>
    <row r="25" spans="1:11" s="273" customFormat="1" ht="15">
      <c r="A25" s="748"/>
      <c r="B25" s="301">
        <v>20</v>
      </c>
      <c r="C25" s="257">
        <v>16</v>
      </c>
      <c r="D25" s="275">
        <f t="shared" si="4"/>
        <v>2</v>
      </c>
      <c r="E25" s="275">
        <v>16</v>
      </c>
      <c r="F25" s="275">
        <f t="shared" si="0"/>
        <v>32</v>
      </c>
      <c r="G25" s="276">
        <v>1.7</v>
      </c>
      <c r="H25" s="277">
        <f t="shared" si="1"/>
        <v>54.4</v>
      </c>
      <c r="I25" s="278">
        <f t="shared" si="2"/>
        <v>1.5780000000000001</v>
      </c>
      <c r="J25" s="279">
        <f t="shared" si="3"/>
        <v>85.843000000000004</v>
      </c>
    </row>
    <row r="26" spans="1:11" s="273" customFormat="1" ht="15">
      <c r="A26" s="748"/>
      <c r="B26" s="301">
        <v>21</v>
      </c>
      <c r="C26" s="257">
        <v>10</v>
      </c>
      <c r="D26" s="275">
        <f t="shared" si="4"/>
        <v>2</v>
      </c>
      <c r="E26" s="275">
        <v>16</v>
      </c>
      <c r="F26" s="275">
        <f t="shared" si="0"/>
        <v>32</v>
      </c>
      <c r="G26" s="276">
        <v>1.7</v>
      </c>
      <c r="H26" s="277">
        <f t="shared" si="1"/>
        <v>54.4</v>
      </c>
      <c r="I26" s="278">
        <f t="shared" si="2"/>
        <v>0.61699999999999999</v>
      </c>
      <c r="J26" s="279">
        <f t="shared" si="3"/>
        <v>33.564999999999998</v>
      </c>
    </row>
    <row r="27" spans="1:11" s="273" customFormat="1" ht="15">
      <c r="A27" s="748"/>
      <c r="B27" s="301">
        <v>22</v>
      </c>
      <c r="C27" s="257">
        <v>16</v>
      </c>
      <c r="D27" s="275">
        <f t="shared" si="4"/>
        <v>2</v>
      </c>
      <c r="E27" s="275">
        <v>16</v>
      </c>
      <c r="F27" s="275">
        <f t="shared" si="0"/>
        <v>32</v>
      </c>
      <c r="G27" s="276">
        <v>0.96</v>
      </c>
      <c r="H27" s="277">
        <f t="shared" si="1"/>
        <v>30.72</v>
      </c>
      <c r="I27" s="278">
        <f t="shared" si="2"/>
        <v>1.5780000000000001</v>
      </c>
      <c r="J27" s="279">
        <f t="shared" si="3"/>
        <v>48.475999999999999</v>
      </c>
    </row>
    <row r="28" spans="1:11" s="273" customFormat="1" ht="15">
      <c r="A28" s="748"/>
      <c r="B28" s="301">
        <v>33</v>
      </c>
      <c r="C28" s="257">
        <v>16</v>
      </c>
      <c r="D28" s="275">
        <v>1</v>
      </c>
      <c r="E28" s="275">
        <v>32</v>
      </c>
      <c r="F28" s="275">
        <f t="shared" si="0"/>
        <v>32</v>
      </c>
      <c r="G28" s="276">
        <v>0.45</v>
      </c>
      <c r="H28" s="277">
        <f t="shared" si="1"/>
        <v>14.4</v>
      </c>
      <c r="I28" s="278">
        <f t="shared" si="2"/>
        <v>1.5780000000000001</v>
      </c>
      <c r="J28" s="279">
        <f t="shared" si="3"/>
        <v>22.722999999999999</v>
      </c>
    </row>
    <row r="29" spans="1:11" s="262" customFormat="1" ht="15">
      <c r="A29" s="261"/>
      <c r="B29" s="284"/>
      <c r="C29" s="284"/>
      <c r="D29" s="284"/>
      <c r="E29" s="284"/>
      <c r="F29" s="284"/>
      <c r="G29" s="285"/>
      <c r="H29" s="286"/>
      <c r="I29" s="287"/>
      <c r="J29" s="288"/>
    </row>
    <row r="30" spans="1:11" s="291" customFormat="1" ht="15">
      <c r="A30" s="261"/>
      <c r="B30" s="289" t="s">
        <v>473</v>
      </c>
      <c r="C30" s="284"/>
      <c r="D30" s="284"/>
      <c r="E30" s="284"/>
      <c r="F30" s="290"/>
      <c r="G30" s="285"/>
      <c r="H30" s="286"/>
      <c r="I30" s="287"/>
      <c r="K30" s="286"/>
    </row>
    <row r="31" spans="1:11" s="291" customFormat="1" ht="15">
      <c r="A31" s="261"/>
      <c r="B31" s="292" t="s">
        <v>752</v>
      </c>
      <c r="C31" s="284"/>
      <c r="D31" s="284"/>
      <c r="F31" s="293">
        <f>SUMIF($C$6:$C$28,10,$J$6:$J$28)</f>
        <v>303.68799999999999</v>
      </c>
      <c r="G31" s="294" t="s">
        <v>273</v>
      </c>
      <c r="I31" s="287"/>
      <c r="K31" s="295"/>
    </row>
    <row r="32" spans="1:11" s="291" customFormat="1" ht="15">
      <c r="A32" s="261"/>
      <c r="B32" s="292" t="s">
        <v>754</v>
      </c>
      <c r="C32" s="284"/>
      <c r="D32" s="284"/>
      <c r="F32" s="293">
        <f>SUMIF($C$6:$C$28,12,$J$6:$J$28)</f>
        <v>630.44399999999996</v>
      </c>
      <c r="G32" s="294" t="s">
        <v>273</v>
      </c>
      <c r="I32" s="287"/>
      <c r="K32" s="295"/>
    </row>
    <row r="33" spans="1:11" s="291" customFormat="1" ht="15">
      <c r="A33" s="261"/>
      <c r="B33" s="292" t="s">
        <v>741</v>
      </c>
      <c r="C33" s="284"/>
      <c r="D33" s="284"/>
      <c r="F33" s="293">
        <f>SUMIF($C$6:$C$28,16,$J$6:$J$28)</f>
        <v>329.10700000000003</v>
      </c>
      <c r="G33" s="294" t="s">
        <v>273</v>
      </c>
      <c r="I33" s="287"/>
      <c r="K33" s="295"/>
    </row>
    <row r="34" spans="1:11" s="291" customFormat="1" ht="15">
      <c r="A34" s="261"/>
      <c r="B34" s="292" t="s">
        <v>742</v>
      </c>
      <c r="C34" s="284"/>
      <c r="D34" s="284"/>
      <c r="F34" s="293">
        <f>SUMIF($C$6:$C$28,18,$J$6:$J$28)</f>
        <v>806.47299999999996</v>
      </c>
      <c r="G34" s="294" t="s">
        <v>273</v>
      </c>
      <c r="I34" s="287"/>
      <c r="K34" s="295"/>
    </row>
    <row r="35" spans="1:11" s="291" customFormat="1" ht="15">
      <c r="A35" s="261"/>
      <c r="B35" s="292"/>
      <c r="C35" s="284"/>
      <c r="D35" s="284"/>
      <c r="F35" s="293"/>
      <c r="G35" s="294"/>
      <c r="I35" s="287"/>
      <c r="K35" s="295"/>
    </row>
    <row r="36" spans="1:11" s="291" customFormat="1" ht="15">
      <c r="A36" s="261"/>
      <c r="B36" s="292"/>
      <c r="C36" s="284"/>
      <c r="D36" s="284"/>
      <c r="F36" s="293"/>
      <c r="G36" s="294"/>
      <c r="I36" s="287"/>
      <c r="K36" s="295"/>
    </row>
    <row r="37" spans="1:11" s="291" customFormat="1" ht="15">
      <c r="A37" s="261"/>
      <c r="B37" s="292"/>
      <c r="C37" s="284"/>
      <c r="D37" s="284"/>
      <c r="F37" s="293"/>
      <c r="G37" s="294"/>
      <c r="I37" s="287"/>
      <c r="K37" s="295"/>
    </row>
    <row r="38" spans="1:11" s="291" customFormat="1" ht="15">
      <c r="A38" s="261"/>
      <c r="B38" s="292"/>
      <c r="C38" s="284"/>
      <c r="D38" s="284"/>
      <c r="F38" s="293"/>
      <c r="G38" s="294"/>
      <c r="I38" s="287"/>
      <c r="K38" s="295"/>
    </row>
    <row r="39" spans="1:11" s="262" customFormat="1">
      <c r="A39" s="261"/>
      <c r="D39" s="260" t="s">
        <v>460</v>
      </c>
      <c r="E39" s="296"/>
      <c r="G39" s="297"/>
      <c r="H39" s="286"/>
      <c r="I39" s="260" t="s">
        <v>747</v>
      </c>
    </row>
    <row r="40" spans="1:11" s="262" customFormat="1">
      <c r="A40" s="261"/>
      <c r="B40" s="297"/>
      <c r="C40" s="296"/>
      <c r="D40" s="296"/>
      <c r="E40" s="296"/>
      <c r="F40" s="296"/>
      <c r="G40" s="296"/>
      <c r="H40" s="286"/>
      <c r="I40" s="260"/>
      <c r="J40" s="260"/>
    </row>
    <row r="41" spans="1:11" s="262" customFormat="1">
      <c r="A41" s="261"/>
      <c r="B41" s="297"/>
      <c r="C41" s="296"/>
      <c r="D41" s="296"/>
      <c r="E41" s="296"/>
      <c r="F41" s="296"/>
      <c r="G41" s="296"/>
      <c r="H41" s="286"/>
      <c r="I41" s="260"/>
      <c r="J41" s="260"/>
      <c r="K41" s="262" t="s">
        <v>475</v>
      </c>
    </row>
    <row r="42" spans="1:11" s="262" customFormat="1">
      <c r="A42" s="261"/>
      <c r="B42" s="297"/>
      <c r="C42" s="296"/>
      <c r="D42" s="296"/>
      <c r="E42" s="296"/>
      <c r="F42" s="296"/>
      <c r="G42" s="296"/>
      <c r="H42" s="286"/>
      <c r="I42" s="260"/>
      <c r="J42" s="260"/>
    </row>
    <row r="43" spans="1:11" s="262" customFormat="1">
      <c r="A43" s="261"/>
      <c r="B43" s="297"/>
      <c r="C43" s="296"/>
      <c r="D43" s="296"/>
      <c r="E43" s="296"/>
      <c r="F43" s="296"/>
      <c r="G43" s="296"/>
      <c r="H43" s="286"/>
      <c r="I43" s="260"/>
      <c r="J43" s="259"/>
    </row>
    <row r="44" spans="1:11" s="262" customFormat="1">
      <c r="A44" s="261"/>
      <c r="D44" s="297" t="s">
        <v>744</v>
      </c>
      <c r="E44" s="298"/>
      <c r="G44" s="297"/>
      <c r="H44" s="286"/>
      <c r="I44" s="260" t="s">
        <v>746</v>
      </c>
      <c r="J44" s="259"/>
    </row>
    <row r="48" spans="1:11" s="262" customFormat="1" ht="15">
      <c r="A48" s="261"/>
      <c r="B48" s="284"/>
      <c r="C48" s="284"/>
      <c r="D48" s="284"/>
      <c r="E48" s="284"/>
      <c r="F48" s="284"/>
      <c r="G48" s="285"/>
      <c r="H48" s="286"/>
      <c r="I48" s="287"/>
      <c r="J48" s="288"/>
    </row>
    <row r="49" spans="1:10" s="262" customFormat="1" ht="15">
      <c r="A49" s="261"/>
      <c r="B49" s="284"/>
      <c r="C49" s="284"/>
      <c r="D49" s="284"/>
      <c r="E49" s="284"/>
      <c r="F49" s="284"/>
      <c r="G49" s="285"/>
      <c r="H49" s="286"/>
      <c r="I49" s="287"/>
      <c r="J49" s="288"/>
    </row>
    <row r="50" spans="1:10" s="262" customFormat="1" ht="15">
      <c r="A50" s="261"/>
      <c r="B50" s="284"/>
      <c r="C50" s="284"/>
      <c r="D50" s="284"/>
      <c r="E50" s="284"/>
      <c r="F50" s="284"/>
      <c r="G50" s="285"/>
      <c r="H50" s="286"/>
      <c r="I50" s="287"/>
      <c r="J50" s="288"/>
    </row>
    <row r="51" spans="1:10" s="262" customFormat="1" ht="15">
      <c r="A51" s="261"/>
      <c r="B51" s="284"/>
      <c r="C51" s="284"/>
      <c r="D51" s="284"/>
      <c r="E51" s="284"/>
      <c r="F51" s="284"/>
      <c r="G51" s="285"/>
      <c r="H51" s="286"/>
      <c r="I51" s="287"/>
      <c r="J51" s="288"/>
    </row>
    <row r="52" spans="1:10" s="262" customFormat="1" ht="15">
      <c r="A52" s="261"/>
      <c r="B52" s="284"/>
      <c r="C52" s="284"/>
      <c r="D52" s="284"/>
      <c r="E52" s="284"/>
      <c r="F52" s="284"/>
      <c r="G52" s="285"/>
      <c r="H52" s="286"/>
      <c r="I52" s="287"/>
      <c r="J52" s="288"/>
    </row>
    <row r="53" spans="1:10" s="262" customFormat="1" ht="15">
      <c r="A53" s="261"/>
      <c r="B53" s="284"/>
      <c r="C53" s="284"/>
      <c r="D53" s="284"/>
      <c r="E53" s="284"/>
      <c r="F53" s="284"/>
      <c r="G53" s="285"/>
      <c r="H53" s="286"/>
      <c r="I53" s="287"/>
      <c r="J53" s="288"/>
    </row>
  </sheetData>
  <mergeCells count="10">
    <mergeCell ref="A6:A28"/>
    <mergeCell ref="I3:J3"/>
    <mergeCell ref="A4:A5"/>
    <mergeCell ref="B4:B5"/>
    <mergeCell ref="C4:C5"/>
    <mergeCell ref="D4:D5"/>
    <mergeCell ref="E4:F4"/>
    <mergeCell ref="G4:H4"/>
    <mergeCell ref="I4:I5"/>
    <mergeCell ref="J4:J5"/>
  </mergeCells>
  <pageMargins left="0.7" right="0.1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tabColor rgb="FFFFFF00"/>
  </sheetPr>
  <dimension ref="A1:L44"/>
  <sheetViews>
    <sheetView topLeftCell="A16"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2" s="266" customFormat="1" ht="22.5" customHeight="1">
      <c r="A1" s="263" t="s">
        <v>791</v>
      </c>
      <c r="B1" s="264"/>
      <c r="C1" s="264"/>
      <c r="D1" s="264"/>
      <c r="E1" s="264"/>
      <c r="F1" s="264"/>
      <c r="G1" s="264"/>
      <c r="H1" s="264"/>
      <c r="I1" s="264"/>
      <c r="J1" s="265"/>
    </row>
    <row r="2" spans="1:12" s="266" customFormat="1" ht="20.25">
      <c r="A2" s="264"/>
      <c r="B2" s="264"/>
      <c r="C2" s="264"/>
      <c r="D2" s="264"/>
      <c r="E2" s="264"/>
      <c r="F2" s="392" t="s">
        <v>743</v>
      </c>
      <c r="G2" s="264"/>
      <c r="H2" s="264"/>
      <c r="I2" s="264"/>
      <c r="J2" s="265"/>
    </row>
    <row r="3" spans="1:12" ht="16.5">
      <c r="A3" s="267"/>
      <c r="I3" s="749"/>
      <c r="J3" s="749"/>
    </row>
    <row r="4" spans="1:12" s="273" customFormat="1" ht="18.75" customHeight="1">
      <c r="A4" s="750" t="s">
        <v>462</v>
      </c>
      <c r="B4" s="750" t="s">
        <v>463</v>
      </c>
      <c r="C4" s="750" t="s">
        <v>464</v>
      </c>
      <c r="D4" s="753" t="s">
        <v>465</v>
      </c>
      <c r="E4" s="270" t="s">
        <v>466</v>
      </c>
      <c r="F4" s="271"/>
      <c r="G4" s="272" t="s">
        <v>467</v>
      </c>
      <c r="H4" s="272"/>
      <c r="I4" s="753" t="s">
        <v>468</v>
      </c>
      <c r="J4" s="750" t="s">
        <v>469</v>
      </c>
    </row>
    <row r="5" spans="1:12" s="273" customFormat="1" ht="24" customHeight="1">
      <c r="A5" s="751"/>
      <c r="B5" s="752"/>
      <c r="C5" s="751"/>
      <c r="D5" s="754"/>
      <c r="E5" s="454" t="s">
        <v>470</v>
      </c>
      <c r="F5" s="454" t="s">
        <v>471</v>
      </c>
      <c r="G5" s="454" t="s">
        <v>472</v>
      </c>
      <c r="H5" s="454" t="s">
        <v>471</v>
      </c>
      <c r="I5" s="754"/>
      <c r="J5" s="751"/>
    </row>
    <row r="6" spans="1:12" s="273" customFormat="1" ht="15" customHeight="1">
      <c r="A6" s="748" t="s">
        <v>762</v>
      </c>
      <c r="B6" s="301">
        <v>1</v>
      </c>
      <c r="C6" s="257">
        <v>18</v>
      </c>
      <c r="D6" s="275">
        <v>1</v>
      </c>
      <c r="E6" s="275">
        <v>82</v>
      </c>
      <c r="F6" s="275">
        <f t="shared" ref="F6:F24" si="0">D6*E6</f>
        <v>82</v>
      </c>
      <c r="G6" s="276">
        <v>4.8</v>
      </c>
      <c r="H6" s="277">
        <f t="shared" ref="H6:H24" si="1">ROUND(F6*G6,3)</f>
        <v>393.6</v>
      </c>
      <c r="I6" s="278">
        <f t="shared" ref="I6:I24" si="2">ROUND(3.1416*(C6/1000)^2/4*7850*1,3)</f>
        <v>1.998</v>
      </c>
      <c r="J6" s="279">
        <f t="shared" ref="J6:J24" si="3">ROUND(H6*I6,3)</f>
        <v>786.41300000000001</v>
      </c>
    </row>
    <row r="7" spans="1:12" s="273" customFormat="1" ht="15">
      <c r="A7" s="748"/>
      <c r="B7" s="301">
        <v>2</v>
      </c>
      <c r="C7" s="257">
        <v>18</v>
      </c>
      <c r="D7" s="275">
        <v>1</v>
      </c>
      <c r="E7" s="275">
        <v>6</v>
      </c>
      <c r="F7" s="275">
        <f t="shared" si="0"/>
        <v>6</v>
      </c>
      <c r="G7" s="276">
        <v>3.75</v>
      </c>
      <c r="H7" s="277">
        <f t="shared" si="1"/>
        <v>22.5</v>
      </c>
      <c r="I7" s="278">
        <f t="shared" si="2"/>
        <v>1.998</v>
      </c>
      <c r="J7" s="279">
        <f t="shared" si="3"/>
        <v>44.954999999999998</v>
      </c>
      <c r="K7" s="280">
        <f>5.64+1.86</f>
        <v>7.5</v>
      </c>
      <c r="L7" s="273">
        <f>+K7/2</f>
        <v>3.75</v>
      </c>
    </row>
    <row r="8" spans="1:12" s="281" customFormat="1" ht="15">
      <c r="A8" s="748"/>
      <c r="B8" s="301">
        <v>3</v>
      </c>
      <c r="C8" s="257">
        <v>18</v>
      </c>
      <c r="D8" s="275">
        <v>1</v>
      </c>
      <c r="E8" s="275">
        <v>10</v>
      </c>
      <c r="F8" s="275">
        <f t="shared" si="0"/>
        <v>10</v>
      </c>
      <c r="G8" s="276">
        <v>9.9</v>
      </c>
      <c r="H8" s="277">
        <f t="shared" si="1"/>
        <v>99</v>
      </c>
      <c r="I8" s="278">
        <f t="shared" si="2"/>
        <v>1.998</v>
      </c>
      <c r="J8" s="279">
        <f t="shared" si="3"/>
        <v>197.80199999999999</v>
      </c>
    </row>
    <row r="9" spans="1:12" s="273" customFormat="1" ht="15">
      <c r="A9" s="748"/>
      <c r="B9" s="301">
        <v>4</v>
      </c>
      <c r="C9" s="257">
        <v>12</v>
      </c>
      <c r="D9" s="275">
        <v>1</v>
      </c>
      <c r="E9" s="275">
        <v>76</v>
      </c>
      <c r="F9" s="275">
        <f t="shared" si="0"/>
        <v>76</v>
      </c>
      <c r="G9" s="276">
        <v>3.78</v>
      </c>
      <c r="H9" s="277">
        <f t="shared" si="1"/>
        <v>287.27999999999997</v>
      </c>
      <c r="I9" s="278">
        <f t="shared" si="2"/>
        <v>0.88800000000000001</v>
      </c>
      <c r="J9" s="279">
        <f t="shared" si="3"/>
        <v>255.10499999999999</v>
      </c>
    </row>
    <row r="10" spans="1:12" s="273" customFormat="1" ht="15">
      <c r="A10" s="748"/>
      <c r="B10" s="301">
        <v>5</v>
      </c>
      <c r="C10" s="257">
        <v>12</v>
      </c>
      <c r="D10" s="275">
        <v>1</v>
      </c>
      <c r="E10" s="275">
        <v>29</v>
      </c>
      <c r="F10" s="275">
        <f t="shared" si="0"/>
        <v>29</v>
      </c>
      <c r="G10" s="276">
        <v>18.760000000000002</v>
      </c>
      <c r="H10" s="277">
        <f t="shared" si="1"/>
        <v>544.04</v>
      </c>
      <c r="I10" s="278">
        <f t="shared" si="2"/>
        <v>0.88800000000000001</v>
      </c>
      <c r="J10" s="279">
        <f t="shared" si="3"/>
        <v>483.108</v>
      </c>
    </row>
    <row r="11" spans="1:12" s="273" customFormat="1" ht="15">
      <c r="A11" s="748"/>
      <c r="B11" s="301">
        <v>6</v>
      </c>
      <c r="C11" s="257">
        <v>12</v>
      </c>
      <c r="D11" s="275">
        <v>1</v>
      </c>
      <c r="E11" s="275">
        <v>58</v>
      </c>
      <c r="F11" s="275">
        <f t="shared" si="0"/>
        <v>58</v>
      </c>
      <c r="G11" s="276">
        <v>1.7</v>
      </c>
      <c r="H11" s="277">
        <f t="shared" si="1"/>
        <v>98.6</v>
      </c>
      <c r="I11" s="278">
        <f t="shared" si="2"/>
        <v>0.88800000000000001</v>
      </c>
      <c r="J11" s="279">
        <f t="shared" si="3"/>
        <v>87.557000000000002</v>
      </c>
      <c r="K11" s="282"/>
    </row>
    <row r="12" spans="1:12" s="273" customFormat="1" ht="15">
      <c r="A12" s="748"/>
      <c r="B12" s="301">
        <v>7</v>
      </c>
      <c r="C12" s="257">
        <v>12</v>
      </c>
      <c r="D12" s="275">
        <v>1</v>
      </c>
      <c r="E12" s="275">
        <v>96</v>
      </c>
      <c r="F12" s="275">
        <f t="shared" si="0"/>
        <v>96</v>
      </c>
      <c r="G12" s="276">
        <v>4.8</v>
      </c>
      <c r="H12" s="277">
        <f>ROUND(F12*G12,3)</f>
        <v>460.8</v>
      </c>
      <c r="I12" s="278">
        <f t="shared" si="2"/>
        <v>0.88800000000000001</v>
      </c>
      <c r="J12" s="279">
        <f t="shared" si="3"/>
        <v>409.19</v>
      </c>
    </row>
    <row r="13" spans="1:12" s="273" customFormat="1" ht="15">
      <c r="A13" s="748"/>
      <c r="B13" s="301" t="s">
        <v>763</v>
      </c>
      <c r="C13" s="257">
        <v>12</v>
      </c>
      <c r="D13" s="275">
        <v>1</v>
      </c>
      <c r="E13" s="275">
        <v>17</v>
      </c>
      <c r="F13" s="275">
        <f t="shared" si="0"/>
        <v>17</v>
      </c>
      <c r="G13" s="276">
        <v>1.6</v>
      </c>
      <c r="H13" s="277">
        <f t="shared" si="1"/>
        <v>27.2</v>
      </c>
      <c r="I13" s="278">
        <f t="shared" si="2"/>
        <v>0.88800000000000001</v>
      </c>
      <c r="J13" s="279">
        <f t="shared" si="3"/>
        <v>24.154</v>
      </c>
    </row>
    <row r="14" spans="1:12" s="273" customFormat="1" ht="15">
      <c r="A14" s="748"/>
      <c r="B14" s="301">
        <v>8</v>
      </c>
      <c r="C14" s="257">
        <v>12</v>
      </c>
      <c r="D14" s="275">
        <v>1</v>
      </c>
      <c r="E14" s="275">
        <v>6</v>
      </c>
      <c r="F14" s="275">
        <f t="shared" si="0"/>
        <v>6</v>
      </c>
      <c r="G14" s="276">
        <v>3.75</v>
      </c>
      <c r="H14" s="277">
        <f t="shared" si="1"/>
        <v>22.5</v>
      </c>
      <c r="I14" s="278">
        <f t="shared" si="2"/>
        <v>0.88800000000000001</v>
      </c>
      <c r="J14" s="279">
        <f t="shared" si="3"/>
        <v>19.98</v>
      </c>
    </row>
    <row r="15" spans="1:12" s="273" customFormat="1" ht="15">
      <c r="A15" s="748"/>
      <c r="B15" s="301">
        <v>9</v>
      </c>
      <c r="C15" s="257">
        <v>12</v>
      </c>
      <c r="D15" s="275">
        <v>1</v>
      </c>
      <c r="E15" s="275">
        <v>15</v>
      </c>
      <c r="F15" s="275">
        <f t="shared" si="0"/>
        <v>15</v>
      </c>
      <c r="G15" s="276">
        <v>9.9</v>
      </c>
      <c r="H15" s="277">
        <f t="shared" si="1"/>
        <v>148.5</v>
      </c>
      <c r="I15" s="278">
        <f t="shared" si="2"/>
        <v>0.88800000000000001</v>
      </c>
      <c r="J15" s="279">
        <f t="shared" si="3"/>
        <v>131.86799999999999</v>
      </c>
    </row>
    <row r="16" spans="1:12" s="273" customFormat="1" ht="15">
      <c r="A16" s="748"/>
      <c r="B16" s="301">
        <v>10</v>
      </c>
      <c r="C16" s="257">
        <v>12</v>
      </c>
      <c r="D16" s="275">
        <v>1</v>
      </c>
      <c r="E16" s="275">
        <v>20</v>
      </c>
      <c r="F16" s="275">
        <f t="shared" si="0"/>
        <v>20</v>
      </c>
      <c r="G16" s="276">
        <v>12.89</v>
      </c>
      <c r="H16" s="277">
        <f t="shared" si="1"/>
        <v>257.8</v>
      </c>
      <c r="I16" s="278">
        <f t="shared" si="2"/>
        <v>0.88800000000000001</v>
      </c>
      <c r="J16" s="279">
        <f t="shared" si="3"/>
        <v>228.92599999999999</v>
      </c>
    </row>
    <row r="17" spans="1:11" s="273" customFormat="1" ht="15">
      <c r="A17" s="748"/>
      <c r="B17" s="301" t="s">
        <v>766</v>
      </c>
      <c r="C17" s="257">
        <v>12</v>
      </c>
      <c r="D17" s="275">
        <v>1</v>
      </c>
      <c r="E17" s="275">
        <v>30</v>
      </c>
      <c r="F17" s="275">
        <f t="shared" si="0"/>
        <v>30</v>
      </c>
      <c r="G17" s="276">
        <v>1.92</v>
      </c>
      <c r="H17" s="277">
        <f t="shared" si="1"/>
        <v>57.6</v>
      </c>
      <c r="I17" s="278">
        <f t="shared" si="2"/>
        <v>0.88800000000000001</v>
      </c>
      <c r="J17" s="279">
        <f t="shared" si="3"/>
        <v>51.149000000000001</v>
      </c>
    </row>
    <row r="18" spans="1:11" s="273" customFormat="1" ht="15">
      <c r="A18" s="748"/>
      <c r="B18" s="301" t="s">
        <v>793</v>
      </c>
      <c r="C18" s="257">
        <v>12</v>
      </c>
      <c r="D18" s="275">
        <v>1</v>
      </c>
      <c r="E18" s="275">
        <v>20</v>
      </c>
      <c r="F18" s="275">
        <f t="shared" si="0"/>
        <v>20</v>
      </c>
      <c r="G18" s="276">
        <v>3.17</v>
      </c>
      <c r="H18" s="277">
        <f t="shared" si="1"/>
        <v>63.4</v>
      </c>
      <c r="I18" s="278">
        <f t="shared" si="2"/>
        <v>0.88800000000000001</v>
      </c>
      <c r="J18" s="279">
        <f t="shared" si="3"/>
        <v>56.298999999999999</v>
      </c>
    </row>
    <row r="19" spans="1:11" s="273" customFormat="1" ht="15">
      <c r="A19" s="748"/>
      <c r="B19" s="301" t="s">
        <v>794</v>
      </c>
      <c r="C19" s="257">
        <v>12</v>
      </c>
      <c r="D19" s="275">
        <v>1</v>
      </c>
      <c r="E19" s="275">
        <v>20</v>
      </c>
      <c r="F19" s="275">
        <f t="shared" si="0"/>
        <v>20</v>
      </c>
      <c r="G19" s="276">
        <v>2.41</v>
      </c>
      <c r="H19" s="277">
        <f t="shared" si="1"/>
        <v>48.2</v>
      </c>
      <c r="I19" s="278">
        <f t="shared" si="2"/>
        <v>0.88800000000000001</v>
      </c>
      <c r="J19" s="279">
        <f t="shared" si="3"/>
        <v>42.802</v>
      </c>
    </row>
    <row r="20" spans="1:11" s="273" customFormat="1" ht="15">
      <c r="A20" s="748"/>
      <c r="B20" s="301" t="s">
        <v>795</v>
      </c>
      <c r="C20" s="257">
        <v>12</v>
      </c>
      <c r="D20" s="275">
        <v>1</v>
      </c>
      <c r="E20" s="275">
        <v>3</v>
      </c>
      <c r="F20" s="275">
        <f t="shared" si="0"/>
        <v>3</v>
      </c>
      <c r="G20" s="276">
        <v>5.41</v>
      </c>
      <c r="H20" s="277">
        <f t="shared" si="1"/>
        <v>16.23</v>
      </c>
      <c r="I20" s="278">
        <f t="shared" si="2"/>
        <v>0.88800000000000001</v>
      </c>
      <c r="J20" s="279">
        <f t="shared" si="3"/>
        <v>14.412000000000001</v>
      </c>
    </row>
    <row r="21" spans="1:11" s="273" customFormat="1" ht="15">
      <c r="A21" s="748"/>
      <c r="B21" s="301" t="s">
        <v>796</v>
      </c>
      <c r="C21" s="257">
        <v>12</v>
      </c>
      <c r="D21" s="275">
        <v>1</v>
      </c>
      <c r="E21" s="275">
        <v>3</v>
      </c>
      <c r="F21" s="275">
        <f t="shared" si="0"/>
        <v>3</v>
      </c>
      <c r="G21" s="276">
        <v>4.0999999999999996</v>
      </c>
      <c r="H21" s="277">
        <f t="shared" si="1"/>
        <v>12.3</v>
      </c>
      <c r="I21" s="278">
        <f t="shared" si="2"/>
        <v>0.88800000000000001</v>
      </c>
      <c r="J21" s="279">
        <f t="shared" si="3"/>
        <v>10.922000000000001</v>
      </c>
    </row>
    <row r="22" spans="1:11" s="273" customFormat="1" ht="15">
      <c r="A22" s="748"/>
      <c r="B22" s="301">
        <v>11</v>
      </c>
      <c r="C22" s="257">
        <v>12</v>
      </c>
      <c r="D22" s="275">
        <v>1</v>
      </c>
      <c r="E22" s="275">
        <v>20</v>
      </c>
      <c r="F22" s="275">
        <f t="shared" si="0"/>
        <v>20</v>
      </c>
      <c r="G22" s="276">
        <v>1.6</v>
      </c>
      <c r="H22" s="277">
        <f t="shared" si="1"/>
        <v>32</v>
      </c>
      <c r="I22" s="278">
        <f t="shared" si="2"/>
        <v>0.88800000000000001</v>
      </c>
      <c r="J22" s="279">
        <f t="shared" si="3"/>
        <v>28.416</v>
      </c>
    </row>
    <row r="23" spans="1:11" s="273" customFormat="1" ht="15">
      <c r="A23" s="748"/>
      <c r="B23" s="301">
        <v>12</v>
      </c>
      <c r="C23" s="257">
        <v>12</v>
      </c>
      <c r="D23" s="275">
        <v>1</v>
      </c>
      <c r="E23" s="275">
        <v>20</v>
      </c>
      <c r="F23" s="275">
        <f t="shared" si="0"/>
        <v>20</v>
      </c>
      <c r="G23" s="276">
        <v>1.86</v>
      </c>
      <c r="H23" s="277">
        <f t="shared" si="1"/>
        <v>37.200000000000003</v>
      </c>
      <c r="I23" s="278">
        <f t="shared" si="2"/>
        <v>0.88800000000000001</v>
      </c>
      <c r="J23" s="279">
        <f t="shared" si="3"/>
        <v>33.033999999999999</v>
      </c>
    </row>
    <row r="24" spans="1:11" s="273" customFormat="1" ht="15">
      <c r="A24" s="748"/>
      <c r="B24" s="301">
        <v>13</v>
      </c>
      <c r="C24" s="257">
        <v>12</v>
      </c>
      <c r="D24" s="275">
        <v>1</v>
      </c>
      <c r="E24" s="275">
        <v>20</v>
      </c>
      <c r="F24" s="275">
        <f t="shared" si="0"/>
        <v>20</v>
      </c>
      <c r="G24" s="276">
        <v>5.23</v>
      </c>
      <c r="H24" s="277">
        <f t="shared" si="1"/>
        <v>104.6</v>
      </c>
      <c r="I24" s="278">
        <f t="shared" si="2"/>
        <v>0.88800000000000001</v>
      </c>
      <c r="J24" s="279">
        <f t="shared" si="3"/>
        <v>92.885000000000005</v>
      </c>
    </row>
    <row r="25" spans="1:11" s="262" customFormat="1" ht="15">
      <c r="A25" s="261"/>
      <c r="B25" s="284"/>
      <c r="C25" s="284"/>
      <c r="D25" s="284"/>
      <c r="E25" s="284"/>
      <c r="F25" s="284"/>
      <c r="G25" s="285"/>
      <c r="H25" s="286"/>
      <c r="I25" s="287"/>
      <c r="J25" s="288"/>
    </row>
    <row r="26" spans="1:11" s="291" customFormat="1" ht="15">
      <c r="A26" s="261"/>
      <c r="B26" s="289" t="s">
        <v>473</v>
      </c>
      <c r="C26" s="284"/>
      <c r="D26" s="284"/>
      <c r="E26" s="284"/>
      <c r="F26" s="290"/>
      <c r="G26" s="285"/>
      <c r="H26" s="286"/>
      <c r="I26" s="287"/>
      <c r="K26" s="286"/>
    </row>
    <row r="27" spans="1:11" s="291" customFormat="1" ht="15">
      <c r="A27" s="261"/>
      <c r="B27" s="292" t="s">
        <v>754</v>
      </c>
      <c r="C27" s="284"/>
      <c r="D27" s="284"/>
      <c r="F27" s="293">
        <f>SUMIF($C$6:$C$24,12,$J$6:$J$24)</f>
        <v>1969.8069999999998</v>
      </c>
      <c r="G27" s="294" t="s">
        <v>273</v>
      </c>
      <c r="I27" s="287"/>
      <c r="K27" s="295"/>
    </row>
    <row r="28" spans="1:11" s="291" customFormat="1" ht="15">
      <c r="A28" s="261"/>
      <c r="B28" s="292" t="s">
        <v>742</v>
      </c>
      <c r="C28" s="284"/>
      <c r="D28" s="284"/>
      <c r="F28" s="293">
        <f>SUMIF($C$6:$C$24,18,$J$6:$J$24)</f>
        <v>1029.17</v>
      </c>
      <c r="G28" s="294" t="s">
        <v>273</v>
      </c>
      <c r="I28" s="287"/>
      <c r="K28" s="295"/>
    </row>
    <row r="29" spans="1:11" s="291" customFormat="1" ht="15">
      <c r="A29" s="261"/>
      <c r="B29" s="292"/>
      <c r="C29" s="284"/>
      <c r="D29" s="284"/>
      <c r="F29" s="293"/>
      <c r="G29" s="294"/>
      <c r="I29" s="287"/>
      <c r="K29" s="295"/>
    </row>
    <row r="30" spans="1:11" s="262" customFormat="1">
      <c r="A30" s="261"/>
      <c r="D30" s="260" t="s">
        <v>460</v>
      </c>
      <c r="E30" s="296"/>
      <c r="G30" s="297"/>
      <c r="H30" s="286"/>
      <c r="I30" s="260" t="s">
        <v>747</v>
      </c>
    </row>
    <row r="31" spans="1:11" s="262" customFormat="1">
      <c r="A31" s="261"/>
      <c r="B31" s="297"/>
      <c r="C31" s="296"/>
      <c r="D31" s="296"/>
      <c r="E31" s="296"/>
      <c r="F31" s="296"/>
      <c r="G31" s="296"/>
      <c r="H31" s="286"/>
      <c r="I31" s="260"/>
      <c r="J31" s="260"/>
    </row>
    <row r="32" spans="1:11" s="262" customFormat="1">
      <c r="A32" s="261"/>
      <c r="B32" s="297"/>
      <c r="C32" s="296"/>
      <c r="D32" s="296"/>
      <c r="E32" s="296"/>
      <c r="F32" s="296"/>
      <c r="G32" s="296"/>
      <c r="H32" s="286"/>
      <c r="I32" s="260"/>
      <c r="J32" s="260"/>
      <c r="K32" s="262" t="s">
        <v>475</v>
      </c>
    </row>
    <row r="33" spans="1:10" s="262" customFormat="1">
      <c r="A33" s="261"/>
      <c r="B33" s="297"/>
      <c r="C33" s="296"/>
      <c r="D33" s="296"/>
      <c r="E33" s="296"/>
      <c r="F33" s="296"/>
      <c r="G33" s="296"/>
      <c r="H33" s="286"/>
      <c r="I33" s="260"/>
      <c r="J33" s="260"/>
    </row>
    <row r="34" spans="1:10" s="262" customFormat="1">
      <c r="A34" s="261"/>
      <c r="B34" s="297"/>
      <c r="C34" s="296"/>
      <c r="D34" s="296"/>
      <c r="E34" s="296"/>
      <c r="F34" s="296"/>
      <c r="G34" s="296"/>
      <c r="H34" s="286"/>
      <c r="I34" s="260"/>
      <c r="J34" s="259"/>
    </row>
    <row r="35" spans="1:10" s="262" customFormat="1">
      <c r="A35" s="261"/>
      <c r="D35" s="297" t="s">
        <v>744</v>
      </c>
      <c r="E35" s="298"/>
      <c r="G35" s="297"/>
      <c r="H35" s="286"/>
      <c r="I35" s="260" t="s">
        <v>746</v>
      </c>
      <c r="J35" s="259"/>
    </row>
    <row r="39" spans="1:10" s="262" customFormat="1" ht="15">
      <c r="A39" s="261"/>
      <c r="B39" s="284"/>
      <c r="C39" s="284"/>
      <c r="D39" s="284"/>
      <c r="E39" s="284"/>
      <c r="F39" s="284"/>
      <c r="G39" s="285"/>
      <c r="H39" s="286"/>
      <c r="I39" s="287"/>
      <c r="J39" s="288"/>
    </row>
    <row r="40" spans="1:10" s="262" customFormat="1" ht="15">
      <c r="A40" s="261"/>
      <c r="B40" s="284"/>
      <c r="C40" s="284"/>
      <c r="D40" s="284"/>
      <c r="E40" s="284"/>
      <c r="F40" s="284"/>
      <c r="G40" s="285"/>
      <c r="H40" s="286"/>
      <c r="I40" s="287"/>
      <c r="J40" s="288"/>
    </row>
    <row r="41" spans="1:10" s="262" customFormat="1" ht="15">
      <c r="A41" s="261"/>
      <c r="B41" s="284"/>
      <c r="C41" s="284"/>
      <c r="D41" s="284"/>
      <c r="E41" s="284"/>
      <c r="F41" s="284"/>
      <c r="G41" s="285"/>
      <c r="H41" s="286"/>
      <c r="I41" s="287"/>
      <c r="J41" s="288"/>
    </row>
    <row r="42" spans="1:10" s="262" customFormat="1" ht="15">
      <c r="A42" s="261"/>
      <c r="B42" s="284"/>
      <c r="C42" s="284"/>
      <c r="D42" s="284"/>
      <c r="E42" s="284"/>
      <c r="F42" s="284"/>
      <c r="G42" s="285"/>
      <c r="H42" s="286"/>
      <c r="I42" s="287"/>
      <c r="J42" s="288"/>
    </row>
    <row r="43" spans="1:10" s="262" customFormat="1" ht="15">
      <c r="A43" s="261"/>
      <c r="B43" s="284"/>
      <c r="C43" s="284"/>
      <c r="D43" s="284"/>
      <c r="E43" s="284"/>
      <c r="F43" s="284"/>
      <c r="G43" s="285"/>
      <c r="H43" s="286"/>
      <c r="I43" s="287"/>
      <c r="J43" s="288"/>
    </row>
    <row r="44" spans="1:10" s="262" customFormat="1" ht="15">
      <c r="A44" s="261"/>
      <c r="B44" s="284"/>
      <c r="C44" s="284"/>
      <c r="D44" s="284"/>
      <c r="E44" s="284"/>
      <c r="F44" s="284"/>
      <c r="G44" s="285"/>
      <c r="H44" s="286"/>
      <c r="I44" s="287"/>
      <c r="J44" s="288"/>
    </row>
  </sheetData>
  <mergeCells count="8">
    <mergeCell ref="I3:J3"/>
    <mergeCell ref="I4:I5"/>
    <mergeCell ref="J4:J5"/>
    <mergeCell ref="A6:A24"/>
    <mergeCell ref="A4:A5"/>
    <mergeCell ref="B4:B5"/>
    <mergeCell ref="C4:C5"/>
    <mergeCell ref="D4:D5"/>
  </mergeCells>
  <pageMargins left="0.7" right="0.16"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sheetPr>
    <tabColor rgb="FFFFFF00"/>
  </sheetPr>
  <dimension ref="A1:M45"/>
  <sheetViews>
    <sheetView workbookViewId="0">
      <selection activeCell="D59" sqref="D59"/>
    </sheetView>
  </sheetViews>
  <sheetFormatPr defaultRowHeight="15.75"/>
  <cols>
    <col min="1" max="1" width="7" style="269" customWidth="1"/>
    <col min="2" max="2" width="7.42578125" style="268" customWidth="1"/>
    <col min="3" max="3" width="7.7109375" style="268" customWidth="1"/>
    <col min="4" max="4" width="7.5703125" style="268" customWidth="1"/>
    <col min="5" max="5" width="7.5703125" style="399" hidden="1" customWidth="1"/>
    <col min="6" max="6" width="7.85546875" style="268" customWidth="1"/>
    <col min="7" max="7" width="10.5703125" style="268" customWidth="1"/>
    <col min="8" max="8" width="10.5703125" style="399" hidden="1" customWidth="1"/>
    <col min="9" max="9" width="11" style="268" customWidth="1"/>
    <col min="10" max="10" width="10.85546875" style="269" customWidth="1"/>
    <col min="11" max="11" width="12.140625" style="269" customWidth="1"/>
    <col min="12" max="12" width="11.85546875" style="299" customWidth="1"/>
    <col min="13" max="13" width="24.7109375" style="269" customWidth="1"/>
    <col min="14" max="14" width="13.5703125" style="269" customWidth="1"/>
    <col min="15" max="15" width="16.28515625" style="269" bestFit="1" customWidth="1"/>
    <col min="16" max="16" width="15" style="269" bestFit="1" customWidth="1"/>
    <col min="17" max="16384" width="9.140625" style="269"/>
  </cols>
  <sheetData>
    <row r="1" spans="1:13" s="266" customFormat="1" ht="22.5">
      <c r="A1" s="263" t="s">
        <v>791</v>
      </c>
      <c r="B1" s="264"/>
      <c r="C1" s="264"/>
      <c r="D1" s="264"/>
      <c r="E1" s="398"/>
      <c r="F1" s="264"/>
      <c r="G1" s="264"/>
      <c r="H1" s="398"/>
      <c r="I1" s="264"/>
      <c r="J1" s="264"/>
      <c r="K1" s="264"/>
      <c r="L1" s="265"/>
    </row>
    <row r="2" spans="1:13" s="266" customFormat="1" ht="20.25">
      <c r="A2" s="264"/>
      <c r="B2" s="264"/>
      <c r="C2" s="264"/>
      <c r="D2" s="264"/>
      <c r="E2" s="398"/>
      <c r="F2" s="264"/>
      <c r="G2" s="392" t="s">
        <v>740</v>
      </c>
      <c r="H2" s="405"/>
      <c r="I2" s="264"/>
      <c r="J2" s="264"/>
      <c r="K2" s="264"/>
      <c r="L2" s="265"/>
    </row>
    <row r="3" spans="1:13" ht="16.5">
      <c r="A3" s="267"/>
      <c r="K3" s="749"/>
      <c r="L3" s="749"/>
    </row>
    <row r="4" spans="1:13" s="273" customFormat="1" ht="18.75" customHeight="1">
      <c r="A4" s="750" t="s">
        <v>462</v>
      </c>
      <c r="B4" s="750" t="s">
        <v>463</v>
      </c>
      <c r="C4" s="750" t="s">
        <v>464</v>
      </c>
      <c r="D4" s="753" t="s">
        <v>465</v>
      </c>
      <c r="E4" s="400"/>
      <c r="F4" s="270" t="s">
        <v>466</v>
      </c>
      <c r="G4" s="271"/>
      <c r="H4" s="406"/>
      <c r="I4" s="272" t="s">
        <v>467</v>
      </c>
      <c r="J4" s="272"/>
      <c r="K4" s="753" t="s">
        <v>468</v>
      </c>
      <c r="L4" s="750" t="s">
        <v>469</v>
      </c>
    </row>
    <row r="5" spans="1:13" s="273" customFormat="1" ht="24" customHeight="1">
      <c r="A5" s="751"/>
      <c r="B5" s="752"/>
      <c r="C5" s="751"/>
      <c r="D5" s="754"/>
      <c r="E5" s="401"/>
      <c r="F5" s="449" t="s">
        <v>470</v>
      </c>
      <c r="G5" s="449" t="s">
        <v>471</v>
      </c>
      <c r="H5" s="401"/>
      <c r="I5" s="449" t="s">
        <v>472</v>
      </c>
      <c r="J5" s="449" t="s">
        <v>471</v>
      </c>
      <c r="K5" s="754"/>
      <c r="L5" s="751"/>
    </row>
    <row r="6" spans="1:13" s="273" customFormat="1" ht="15">
      <c r="A6" s="748" t="s">
        <v>762</v>
      </c>
      <c r="B6" s="301">
        <v>1</v>
      </c>
      <c r="C6" s="257">
        <v>18</v>
      </c>
      <c r="D6" s="275">
        <v>1</v>
      </c>
      <c r="E6" s="397">
        <f>17.66/0.2+1</f>
        <v>89.3</v>
      </c>
      <c r="F6" s="275">
        <v>90</v>
      </c>
      <c r="G6" s="275">
        <f t="shared" ref="G6:G25" si="0">D6*F6</f>
        <v>90</v>
      </c>
      <c r="H6" s="397">
        <v>4.8</v>
      </c>
      <c r="I6" s="276">
        <v>4.8</v>
      </c>
      <c r="J6" s="277">
        <f t="shared" ref="J6:J25" si="1">ROUND(G6*I6,3)</f>
        <v>432</v>
      </c>
      <c r="K6" s="278">
        <f t="shared" ref="K6:K25" si="2">ROUND(3.1416*(C6/1000)^2/4*7850*1,3)</f>
        <v>1.998</v>
      </c>
      <c r="L6" s="279">
        <f t="shared" ref="L6:L25" si="3">ROUND(J6*K6,3)</f>
        <v>863.13599999999997</v>
      </c>
    </row>
    <row r="7" spans="1:13" s="273" customFormat="1" ht="15">
      <c r="A7" s="748"/>
      <c r="B7" s="301">
        <v>2</v>
      </c>
      <c r="C7" s="257">
        <v>18</v>
      </c>
      <c r="D7" s="275">
        <f>+D6</f>
        <v>1</v>
      </c>
      <c r="E7" s="397">
        <f>1.63/0.2</f>
        <v>8.1499999999999986</v>
      </c>
      <c r="F7" s="275">
        <v>8</v>
      </c>
      <c r="G7" s="275">
        <f t="shared" si="0"/>
        <v>8</v>
      </c>
      <c r="H7" s="397">
        <f>+(4.6+2)/2</f>
        <v>3.3</v>
      </c>
      <c r="I7" s="276">
        <v>3.15</v>
      </c>
      <c r="J7" s="277">
        <f t="shared" si="1"/>
        <v>25.2</v>
      </c>
      <c r="K7" s="278">
        <f t="shared" si="2"/>
        <v>1.998</v>
      </c>
      <c r="L7" s="279">
        <f t="shared" si="3"/>
        <v>50.35</v>
      </c>
      <c r="M7" s="280"/>
    </row>
    <row r="8" spans="1:13" s="281" customFormat="1" ht="15">
      <c r="A8" s="748"/>
      <c r="B8" s="301">
        <v>3</v>
      </c>
      <c r="C8" s="257">
        <v>18</v>
      </c>
      <c r="D8" s="275">
        <f t="shared" ref="D8:D25" si="4">+D7</f>
        <v>1</v>
      </c>
      <c r="E8" s="397">
        <f>1.5/0.2+1</f>
        <v>8.5</v>
      </c>
      <c r="F8" s="275">
        <v>9</v>
      </c>
      <c r="G8" s="275">
        <f t="shared" si="0"/>
        <v>9</v>
      </c>
      <c r="H8" s="397">
        <v>9.7100000000000009</v>
      </c>
      <c r="I8" s="276">
        <v>9.7100000000000009</v>
      </c>
      <c r="J8" s="277">
        <f t="shared" si="1"/>
        <v>87.39</v>
      </c>
      <c r="K8" s="278">
        <f t="shared" si="2"/>
        <v>1.998</v>
      </c>
      <c r="L8" s="279">
        <f t="shared" si="3"/>
        <v>174.60499999999999</v>
      </c>
    </row>
    <row r="9" spans="1:13" s="273" customFormat="1" ht="15">
      <c r="A9" s="748"/>
      <c r="B9" s="301">
        <v>4</v>
      </c>
      <c r="C9" s="257">
        <v>12</v>
      </c>
      <c r="D9" s="275">
        <f t="shared" si="4"/>
        <v>1</v>
      </c>
      <c r="E9" s="397">
        <f>9.81/0.2+1+4.9/0.2+1</f>
        <v>75.55</v>
      </c>
      <c r="F9" s="275">
        <v>75</v>
      </c>
      <c r="G9" s="275">
        <f t="shared" si="0"/>
        <v>75</v>
      </c>
      <c r="H9" s="397"/>
      <c r="I9" s="276">
        <v>3.75</v>
      </c>
      <c r="J9" s="277">
        <f t="shared" si="1"/>
        <v>281.25</v>
      </c>
      <c r="K9" s="278">
        <f t="shared" si="2"/>
        <v>0.88800000000000001</v>
      </c>
      <c r="L9" s="279">
        <f t="shared" si="3"/>
        <v>249.75</v>
      </c>
    </row>
    <row r="10" spans="1:13" s="273" customFormat="1" ht="15">
      <c r="A10" s="748"/>
      <c r="B10" s="301">
        <v>5</v>
      </c>
      <c r="C10" s="257">
        <v>12</v>
      </c>
      <c r="D10" s="275">
        <f t="shared" si="4"/>
        <v>1</v>
      </c>
      <c r="E10" s="397">
        <f>4.9/0.2+1+4</f>
        <v>29.5</v>
      </c>
      <c r="F10" s="275">
        <v>29</v>
      </c>
      <c r="G10" s="275">
        <f t="shared" si="0"/>
        <v>29</v>
      </c>
      <c r="H10" s="397">
        <f>17.6+1.63</f>
        <v>19.23</v>
      </c>
      <c r="I10" s="276">
        <v>21.25</v>
      </c>
      <c r="J10" s="277">
        <f t="shared" si="1"/>
        <v>616.25</v>
      </c>
      <c r="K10" s="278">
        <f t="shared" si="2"/>
        <v>0.88800000000000001</v>
      </c>
      <c r="L10" s="279">
        <f t="shared" si="3"/>
        <v>547.23</v>
      </c>
      <c r="M10" s="273" t="s">
        <v>771</v>
      </c>
    </row>
    <row r="11" spans="1:13" s="273" customFormat="1" ht="15">
      <c r="A11" s="748"/>
      <c r="B11" s="301">
        <v>6</v>
      </c>
      <c r="C11" s="257">
        <v>12</v>
      </c>
      <c r="D11" s="275">
        <f t="shared" si="4"/>
        <v>1</v>
      </c>
      <c r="E11" s="397">
        <f>9.81/0.2+1</f>
        <v>50.05</v>
      </c>
      <c r="F11" s="275">
        <v>50</v>
      </c>
      <c r="G11" s="275">
        <f t="shared" si="0"/>
        <v>50</v>
      </c>
      <c r="H11" s="397"/>
      <c r="I11" s="276">
        <v>1.7</v>
      </c>
      <c r="J11" s="277">
        <f t="shared" si="1"/>
        <v>85</v>
      </c>
      <c r="K11" s="278">
        <f t="shared" si="2"/>
        <v>0.88800000000000001</v>
      </c>
      <c r="L11" s="279">
        <f t="shared" si="3"/>
        <v>75.48</v>
      </c>
      <c r="M11" s="282"/>
    </row>
    <row r="12" spans="1:13" s="273" customFormat="1" ht="15">
      <c r="A12" s="748"/>
      <c r="B12" s="301">
        <v>7</v>
      </c>
      <c r="C12" s="257">
        <v>12</v>
      </c>
      <c r="D12" s="275">
        <f t="shared" si="4"/>
        <v>1</v>
      </c>
      <c r="E12" s="397">
        <f>+(17.66+1.63)/0.2+4</f>
        <v>100.44999999999999</v>
      </c>
      <c r="F12" s="275">
        <v>102</v>
      </c>
      <c r="G12" s="275">
        <f t="shared" si="0"/>
        <v>102</v>
      </c>
      <c r="H12" s="397"/>
      <c r="I12" s="276">
        <v>4.8</v>
      </c>
      <c r="J12" s="277">
        <f t="shared" si="1"/>
        <v>489.6</v>
      </c>
      <c r="K12" s="278">
        <f t="shared" si="2"/>
        <v>0.88800000000000001</v>
      </c>
      <c r="L12" s="279">
        <f t="shared" si="3"/>
        <v>434.76499999999999</v>
      </c>
    </row>
    <row r="13" spans="1:13" s="273" customFormat="1" ht="15">
      <c r="A13" s="748"/>
      <c r="B13" s="301" t="s">
        <v>763</v>
      </c>
      <c r="C13" s="257">
        <v>12</v>
      </c>
      <c r="D13" s="275">
        <f t="shared" si="4"/>
        <v>1</v>
      </c>
      <c r="E13" s="397">
        <f>4.79/0.2+1</f>
        <v>24.95</v>
      </c>
      <c r="F13" s="450">
        <v>18</v>
      </c>
      <c r="G13" s="450">
        <f t="shared" si="0"/>
        <v>18</v>
      </c>
      <c r="H13" s="397"/>
      <c r="I13" s="276">
        <v>1.2</v>
      </c>
      <c r="J13" s="277">
        <f t="shared" si="1"/>
        <v>21.6</v>
      </c>
      <c r="K13" s="278">
        <f t="shared" si="2"/>
        <v>0.88800000000000001</v>
      </c>
      <c r="L13" s="279">
        <f t="shared" si="3"/>
        <v>19.181000000000001</v>
      </c>
      <c r="M13" s="273" t="s">
        <v>770</v>
      </c>
    </row>
    <row r="14" spans="1:13" s="273" customFormat="1" ht="15">
      <c r="A14" s="748"/>
      <c r="B14" s="301" t="s">
        <v>764</v>
      </c>
      <c r="C14" s="257">
        <v>12</v>
      </c>
      <c r="D14" s="275">
        <f t="shared" si="4"/>
        <v>1</v>
      </c>
      <c r="E14" s="397">
        <v>3</v>
      </c>
      <c r="F14" s="275">
        <v>3</v>
      </c>
      <c r="G14" s="275">
        <f t="shared" si="0"/>
        <v>3</v>
      </c>
      <c r="H14" s="397"/>
      <c r="I14" s="276">
        <v>4.83</v>
      </c>
      <c r="J14" s="451">
        <f t="shared" si="1"/>
        <v>14.49</v>
      </c>
      <c r="K14" s="278">
        <f t="shared" si="2"/>
        <v>0.88800000000000001</v>
      </c>
      <c r="L14" s="279">
        <f t="shared" si="3"/>
        <v>12.867000000000001</v>
      </c>
      <c r="M14" s="273" t="s">
        <v>770</v>
      </c>
    </row>
    <row r="15" spans="1:13" s="273" customFormat="1" ht="15">
      <c r="A15" s="748"/>
      <c r="B15" s="301" t="s">
        <v>765</v>
      </c>
      <c r="C15" s="257">
        <v>12</v>
      </c>
      <c r="D15" s="275">
        <f t="shared" si="4"/>
        <v>1</v>
      </c>
      <c r="E15" s="397">
        <v>3</v>
      </c>
      <c r="F15" s="275">
        <v>3</v>
      </c>
      <c r="G15" s="275">
        <f t="shared" si="0"/>
        <v>3</v>
      </c>
      <c r="H15" s="397"/>
      <c r="I15" s="276">
        <v>3.95</v>
      </c>
      <c r="J15" s="277">
        <f t="shared" si="1"/>
        <v>11.85</v>
      </c>
      <c r="K15" s="278">
        <f t="shared" si="2"/>
        <v>0.88800000000000001</v>
      </c>
      <c r="L15" s="279">
        <f t="shared" si="3"/>
        <v>10.523</v>
      </c>
      <c r="M15" s="273" t="s">
        <v>770</v>
      </c>
    </row>
    <row r="16" spans="1:13" s="273" customFormat="1" ht="15">
      <c r="A16" s="748"/>
      <c r="B16" s="301">
        <v>8</v>
      </c>
      <c r="C16" s="257">
        <v>12</v>
      </c>
      <c r="D16" s="275">
        <f t="shared" si="4"/>
        <v>1</v>
      </c>
      <c r="E16" s="397">
        <f>1.63/0.2</f>
        <v>8.1499999999999986</v>
      </c>
      <c r="F16" s="275">
        <v>8</v>
      </c>
      <c r="G16" s="275">
        <f t="shared" si="0"/>
        <v>8</v>
      </c>
      <c r="H16" s="397"/>
      <c r="I16" s="276">
        <v>3.1</v>
      </c>
      <c r="J16" s="277">
        <f t="shared" si="1"/>
        <v>24.8</v>
      </c>
      <c r="K16" s="278">
        <f t="shared" si="2"/>
        <v>0.88800000000000001</v>
      </c>
      <c r="L16" s="279">
        <f t="shared" si="3"/>
        <v>22.021999999999998</v>
      </c>
    </row>
    <row r="17" spans="1:13" s="273" customFormat="1" ht="15">
      <c r="A17" s="748"/>
      <c r="B17" s="301">
        <v>9</v>
      </c>
      <c r="C17" s="257">
        <v>12</v>
      </c>
      <c r="D17" s="275">
        <f t="shared" si="4"/>
        <v>1</v>
      </c>
      <c r="E17" s="397">
        <v>13</v>
      </c>
      <c r="F17" s="275">
        <v>13</v>
      </c>
      <c r="G17" s="275">
        <f t="shared" si="0"/>
        <v>13</v>
      </c>
      <c r="H17" s="397"/>
      <c r="I17" s="276">
        <v>9.7100000000000009</v>
      </c>
      <c r="J17" s="277">
        <f t="shared" si="1"/>
        <v>126.23</v>
      </c>
      <c r="K17" s="278">
        <f t="shared" si="2"/>
        <v>0.88800000000000001</v>
      </c>
      <c r="L17" s="279">
        <f t="shared" si="3"/>
        <v>112.092</v>
      </c>
    </row>
    <row r="18" spans="1:13" s="273" customFormat="1" ht="15">
      <c r="A18" s="748"/>
      <c r="B18" s="301">
        <v>10</v>
      </c>
      <c r="C18" s="257">
        <v>12</v>
      </c>
      <c r="D18" s="275">
        <f t="shared" si="4"/>
        <v>1</v>
      </c>
      <c r="E18" s="397">
        <f>3.5/0.2+1</f>
        <v>18.5</v>
      </c>
      <c r="F18" s="275">
        <v>19</v>
      </c>
      <c r="G18" s="275">
        <f t="shared" si="0"/>
        <v>19</v>
      </c>
      <c r="H18" s="397"/>
      <c r="I18" s="276">
        <v>13.68</v>
      </c>
      <c r="J18" s="277">
        <f t="shared" si="1"/>
        <v>259.92</v>
      </c>
      <c r="K18" s="278">
        <f t="shared" si="2"/>
        <v>0.88800000000000001</v>
      </c>
      <c r="L18" s="279">
        <f t="shared" si="3"/>
        <v>230.809</v>
      </c>
    </row>
    <row r="19" spans="1:13" s="273" customFormat="1" ht="15">
      <c r="A19" s="748"/>
      <c r="B19" s="301" t="s">
        <v>766</v>
      </c>
      <c r="C19" s="257">
        <v>12</v>
      </c>
      <c r="D19" s="275">
        <f t="shared" si="4"/>
        <v>1</v>
      </c>
      <c r="E19" s="397">
        <f>3.3/0.2</f>
        <v>16.499999999999996</v>
      </c>
      <c r="F19" s="275">
        <v>15</v>
      </c>
      <c r="G19" s="275">
        <f t="shared" si="0"/>
        <v>15</v>
      </c>
      <c r="H19" s="397"/>
      <c r="I19" s="276">
        <v>1.92</v>
      </c>
      <c r="J19" s="277">
        <f t="shared" si="1"/>
        <v>28.8</v>
      </c>
      <c r="K19" s="278">
        <f t="shared" si="2"/>
        <v>0.88800000000000001</v>
      </c>
      <c r="L19" s="279">
        <f t="shared" si="3"/>
        <v>25.574000000000002</v>
      </c>
    </row>
    <row r="20" spans="1:13" s="273" customFormat="1" ht="15">
      <c r="A20" s="748"/>
      <c r="B20" s="301">
        <v>11</v>
      </c>
      <c r="C20" s="257">
        <v>12</v>
      </c>
      <c r="D20" s="275">
        <f t="shared" si="4"/>
        <v>1</v>
      </c>
      <c r="E20" s="397">
        <f>3.5/0.2+1</f>
        <v>18.5</v>
      </c>
      <c r="F20" s="275">
        <v>19</v>
      </c>
      <c r="G20" s="275">
        <f t="shared" si="0"/>
        <v>19</v>
      </c>
      <c r="H20" s="397"/>
      <c r="I20" s="276">
        <v>1.6</v>
      </c>
      <c r="J20" s="277">
        <f t="shared" si="1"/>
        <v>30.4</v>
      </c>
      <c r="K20" s="278">
        <f t="shared" si="2"/>
        <v>0.88800000000000001</v>
      </c>
      <c r="L20" s="279">
        <f t="shared" si="3"/>
        <v>26.995000000000001</v>
      </c>
    </row>
    <row r="21" spans="1:13" s="273" customFormat="1" ht="15">
      <c r="A21" s="748"/>
      <c r="B21" s="301">
        <v>12</v>
      </c>
      <c r="C21" s="257">
        <v>12</v>
      </c>
      <c r="D21" s="275">
        <f t="shared" si="4"/>
        <v>1</v>
      </c>
      <c r="E21" s="397">
        <f>3.5/0.2+1</f>
        <v>18.5</v>
      </c>
      <c r="F21" s="275">
        <v>19</v>
      </c>
      <c r="G21" s="275">
        <f t="shared" si="0"/>
        <v>19</v>
      </c>
      <c r="H21" s="397"/>
      <c r="I21" s="276">
        <v>1.06</v>
      </c>
      <c r="J21" s="277">
        <f t="shared" si="1"/>
        <v>20.14</v>
      </c>
      <c r="K21" s="278">
        <f t="shared" si="2"/>
        <v>0.88800000000000001</v>
      </c>
      <c r="L21" s="279">
        <f t="shared" si="3"/>
        <v>17.884</v>
      </c>
    </row>
    <row r="22" spans="1:13" s="273" customFormat="1" ht="15">
      <c r="A22" s="748"/>
      <c r="B22" s="301" t="s">
        <v>767</v>
      </c>
      <c r="C22" s="257">
        <v>12</v>
      </c>
      <c r="D22" s="275">
        <f t="shared" si="4"/>
        <v>1</v>
      </c>
      <c r="E22" s="397">
        <f>3.5/0.2+1</f>
        <v>18.5</v>
      </c>
      <c r="F22" s="275">
        <v>19</v>
      </c>
      <c r="G22" s="275">
        <f t="shared" si="0"/>
        <v>19</v>
      </c>
      <c r="H22" s="397"/>
      <c r="I22" s="276">
        <v>3.17</v>
      </c>
      <c r="J22" s="277">
        <f t="shared" si="1"/>
        <v>60.23</v>
      </c>
      <c r="K22" s="278">
        <f t="shared" si="2"/>
        <v>0.88800000000000001</v>
      </c>
      <c r="L22" s="279">
        <f t="shared" si="3"/>
        <v>53.484000000000002</v>
      </c>
    </row>
    <row r="23" spans="1:13" s="273" customFormat="1" ht="15">
      <c r="A23" s="748"/>
      <c r="B23" s="301" t="s">
        <v>768</v>
      </c>
      <c r="C23" s="257">
        <v>12</v>
      </c>
      <c r="D23" s="275">
        <f t="shared" si="4"/>
        <v>1</v>
      </c>
      <c r="E23" s="397">
        <f>3.5/0.2+1</f>
        <v>18.5</v>
      </c>
      <c r="F23" s="275">
        <v>19</v>
      </c>
      <c r="G23" s="275">
        <f t="shared" si="0"/>
        <v>19</v>
      </c>
      <c r="H23" s="397"/>
      <c r="I23" s="276">
        <v>2.41</v>
      </c>
      <c r="J23" s="277">
        <f t="shared" si="1"/>
        <v>45.79</v>
      </c>
      <c r="K23" s="278">
        <f t="shared" si="2"/>
        <v>0.88800000000000001</v>
      </c>
      <c r="L23" s="279">
        <f t="shared" si="3"/>
        <v>40.661999999999999</v>
      </c>
    </row>
    <row r="24" spans="1:13" s="273" customFormat="1" ht="15">
      <c r="A24" s="748"/>
      <c r="B24" s="301">
        <v>13</v>
      </c>
      <c r="C24" s="257">
        <v>12</v>
      </c>
      <c r="D24" s="275">
        <f t="shared" si="4"/>
        <v>1</v>
      </c>
      <c r="E24" s="397">
        <f>3.5/0.2+1</f>
        <v>18.5</v>
      </c>
      <c r="F24" s="275">
        <v>19</v>
      </c>
      <c r="G24" s="275">
        <f t="shared" si="0"/>
        <v>19</v>
      </c>
      <c r="H24" s="397"/>
      <c r="I24" s="276">
        <v>4.9249999999999998</v>
      </c>
      <c r="J24" s="277">
        <f t="shared" si="1"/>
        <v>93.575000000000003</v>
      </c>
      <c r="K24" s="278">
        <f t="shared" si="2"/>
        <v>0.88800000000000001</v>
      </c>
      <c r="L24" s="279">
        <f t="shared" si="3"/>
        <v>83.094999999999999</v>
      </c>
    </row>
    <row r="25" spans="1:13" s="273" customFormat="1" ht="15">
      <c r="A25" s="748"/>
      <c r="B25" s="301" t="s">
        <v>769</v>
      </c>
      <c r="C25" s="257">
        <v>12</v>
      </c>
      <c r="D25" s="275">
        <f t="shared" si="4"/>
        <v>1</v>
      </c>
      <c r="E25" s="397">
        <f>3/0.2</f>
        <v>15</v>
      </c>
      <c r="F25" s="275">
        <v>15</v>
      </c>
      <c r="G25" s="275">
        <f t="shared" si="0"/>
        <v>15</v>
      </c>
      <c r="H25" s="397"/>
      <c r="I25" s="276">
        <v>1.92</v>
      </c>
      <c r="J25" s="277">
        <f t="shared" si="1"/>
        <v>28.8</v>
      </c>
      <c r="K25" s="278">
        <f t="shared" si="2"/>
        <v>0.88800000000000001</v>
      </c>
      <c r="L25" s="279">
        <f t="shared" si="3"/>
        <v>25.574000000000002</v>
      </c>
    </row>
    <row r="26" spans="1:13" s="262" customFormat="1" ht="15">
      <c r="A26" s="261"/>
      <c r="B26" s="284"/>
      <c r="C26" s="284"/>
      <c r="D26" s="284"/>
      <c r="E26" s="402"/>
      <c r="F26" s="284"/>
      <c r="G26" s="284"/>
      <c r="H26" s="402"/>
      <c r="I26" s="285"/>
      <c r="J26" s="286"/>
      <c r="K26" s="287"/>
      <c r="L26" s="288"/>
    </row>
    <row r="27" spans="1:13" s="291" customFormat="1" ht="15">
      <c r="A27" s="261"/>
      <c r="B27" s="289" t="s">
        <v>473</v>
      </c>
      <c r="C27" s="284"/>
      <c r="D27" s="284"/>
      <c r="E27" s="402"/>
      <c r="F27" s="284"/>
      <c r="G27" s="290"/>
      <c r="H27" s="407"/>
      <c r="I27" s="285"/>
      <c r="J27" s="286"/>
      <c r="K27" s="287"/>
      <c r="M27" s="286"/>
    </row>
    <row r="28" spans="1:13" s="291" customFormat="1" ht="15">
      <c r="A28" s="261"/>
      <c r="B28" s="292" t="s">
        <v>754</v>
      </c>
      <c r="C28" s="284"/>
      <c r="D28" s="284"/>
      <c r="E28" s="402"/>
      <c r="G28" s="293">
        <f>SUMIF($C$6:$C$25,12,$L$6:$L$25)</f>
        <v>1987.9869999999999</v>
      </c>
      <c r="H28" s="408"/>
      <c r="I28" s="294" t="s">
        <v>273</v>
      </c>
      <c r="K28" s="287"/>
      <c r="M28" s="295"/>
    </row>
    <row r="29" spans="1:13" s="291" customFormat="1" ht="15">
      <c r="A29" s="261"/>
      <c r="B29" s="292" t="s">
        <v>742</v>
      </c>
      <c r="C29" s="284"/>
      <c r="D29" s="284"/>
      <c r="E29" s="402"/>
      <c r="G29" s="293">
        <f>SUMIF($C$6:$C$25,18,$L$6:$L$25)</f>
        <v>1088.0909999999999</v>
      </c>
      <c r="H29" s="408"/>
      <c r="I29" s="294" t="s">
        <v>273</v>
      </c>
      <c r="K29" s="287"/>
      <c r="M29" s="295"/>
    </row>
    <row r="30" spans="1:13" s="291" customFormat="1" ht="15">
      <c r="A30" s="261"/>
      <c r="B30" s="292"/>
      <c r="C30" s="284"/>
      <c r="D30" s="284"/>
      <c r="E30" s="402"/>
      <c r="G30" s="293"/>
      <c r="H30" s="408"/>
      <c r="I30" s="294"/>
      <c r="K30" s="287"/>
      <c r="M30" s="295"/>
    </row>
    <row r="31" spans="1:13" s="262" customFormat="1">
      <c r="A31" s="261"/>
      <c r="D31" s="438" t="s">
        <v>788</v>
      </c>
      <c r="E31" s="300"/>
      <c r="F31" s="296"/>
      <c r="H31" s="409"/>
      <c r="I31" s="297"/>
      <c r="J31" s="286"/>
      <c r="K31" s="438" t="s">
        <v>789</v>
      </c>
    </row>
    <row r="32" spans="1:13" s="262" customFormat="1">
      <c r="A32" s="261"/>
      <c r="B32" s="297"/>
      <c r="C32" s="296"/>
      <c r="D32" s="417"/>
      <c r="E32" s="403"/>
      <c r="F32" s="296"/>
      <c r="G32" s="296"/>
      <c r="H32" s="403"/>
      <c r="I32" s="296"/>
      <c r="J32" s="286"/>
      <c r="K32" s="417"/>
      <c r="L32" s="260"/>
    </row>
    <row r="33" spans="1:13" s="262" customFormat="1">
      <c r="A33" s="261"/>
      <c r="B33" s="297"/>
      <c r="C33" s="296"/>
      <c r="D33" s="417"/>
      <c r="E33" s="403"/>
      <c r="F33" s="296"/>
      <c r="G33" s="296"/>
      <c r="H33" s="403"/>
      <c r="I33" s="296"/>
      <c r="J33" s="286"/>
      <c r="K33" s="417"/>
      <c r="L33" s="260"/>
      <c r="M33" s="262" t="s">
        <v>475</v>
      </c>
    </row>
    <row r="34" spans="1:13" s="262" customFormat="1">
      <c r="A34" s="261"/>
      <c r="B34" s="297"/>
      <c r="C34" s="296"/>
      <c r="D34" s="417"/>
      <c r="E34" s="403"/>
      <c r="F34" s="296"/>
      <c r="G34" s="296"/>
      <c r="H34" s="403"/>
      <c r="I34" s="296"/>
      <c r="J34" s="286"/>
      <c r="K34" s="417"/>
      <c r="L34" s="260"/>
    </row>
    <row r="35" spans="1:13" s="262" customFormat="1">
      <c r="A35" s="261"/>
      <c r="B35" s="297"/>
      <c r="C35" s="296"/>
      <c r="D35" s="417"/>
      <c r="E35" s="403"/>
      <c r="F35" s="296"/>
      <c r="G35" s="296"/>
      <c r="H35" s="403"/>
      <c r="I35" s="296"/>
      <c r="J35" s="286"/>
      <c r="K35" s="417"/>
      <c r="L35" s="259"/>
    </row>
    <row r="36" spans="1:13" s="262" customFormat="1">
      <c r="A36" s="261"/>
      <c r="D36" s="442" t="s">
        <v>746</v>
      </c>
      <c r="E36" s="404"/>
      <c r="F36" s="298"/>
      <c r="H36" s="409"/>
      <c r="I36" s="297"/>
      <c r="J36" s="286"/>
      <c r="K36" s="443" t="s">
        <v>744</v>
      </c>
      <c r="L36" s="259"/>
    </row>
    <row r="40" spans="1:13" s="262" customFormat="1" ht="15">
      <c r="A40" s="261"/>
      <c r="B40" s="284"/>
      <c r="C40" s="284"/>
      <c r="D40" s="284"/>
      <c r="E40" s="402"/>
      <c r="F40" s="284"/>
      <c r="G40" s="284"/>
      <c r="H40" s="402"/>
      <c r="I40" s="285"/>
      <c r="J40" s="286"/>
      <c r="K40" s="287"/>
      <c r="L40" s="288"/>
    </row>
    <row r="41" spans="1:13" s="262" customFormat="1" ht="15">
      <c r="A41" s="261"/>
      <c r="B41" s="284"/>
      <c r="C41" s="284"/>
      <c r="D41" s="284"/>
      <c r="E41" s="402"/>
      <c r="F41" s="284"/>
      <c r="G41" s="284"/>
      <c r="H41" s="402"/>
      <c r="I41" s="285"/>
      <c r="J41" s="286"/>
      <c r="K41" s="287"/>
      <c r="L41" s="288"/>
    </row>
    <row r="42" spans="1:13" s="262" customFormat="1" ht="15">
      <c r="A42" s="261"/>
      <c r="B42" s="284"/>
      <c r="C42" s="284"/>
      <c r="D42" s="284"/>
      <c r="E42" s="402"/>
      <c r="F42" s="284"/>
      <c r="G42" s="284"/>
      <c r="H42" s="402"/>
      <c r="I42" s="285"/>
      <c r="J42" s="286"/>
      <c r="K42" s="287"/>
      <c r="L42" s="288"/>
    </row>
    <row r="43" spans="1:13" s="262" customFormat="1" ht="15">
      <c r="A43" s="261"/>
      <c r="B43" s="284"/>
      <c r="C43" s="284"/>
      <c r="D43" s="284"/>
      <c r="E43" s="402"/>
      <c r="F43" s="284"/>
      <c r="G43" s="284"/>
      <c r="H43" s="402"/>
      <c r="I43" s="285"/>
      <c r="J43" s="286"/>
      <c r="K43" s="287"/>
      <c r="L43" s="288"/>
    </row>
    <row r="44" spans="1:13" s="262" customFormat="1" ht="15">
      <c r="A44" s="261"/>
      <c r="B44" s="284"/>
      <c r="C44" s="284"/>
      <c r="D44" s="284"/>
      <c r="E44" s="402"/>
      <c r="F44" s="284"/>
      <c r="G44" s="284"/>
      <c r="H44" s="402"/>
      <c r="I44" s="285"/>
      <c r="J44" s="286"/>
      <c r="K44" s="287"/>
      <c r="L44" s="288"/>
    </row>
    <row r="45" spans="1:13" s="262" customFormat="1" ht="15">
      <c r="A45" s="261"/>
      <c r="B45" s="284"/>
      <c r="C45" s="284"/>
      <c r="D45" s="284"/>
      <c r="E45" s="402"/>
      <c r="F45" s="284"/>
      <c r="G45" s="284"/>
      <c r="H45" s="402"/>
      <c r="I45" s="285"/>
      <c r="J45" s="286"/>
      <c r="K45" s="287"/>
      <c r="L45" s="288"/>
    </row>
  </sheetData>
  <mergeCells count="8">
    <mergeCell ref="A6:A25"/>
    <mergeCell ref="K3:L3"/>
    <mergeCell ref="A4:A5"/>
    <mergeCell ref="B4:B5"/>
    <mergeCell ref="C4:C5"/>
    <mergeCell ref="D4:D5"/>
    <mergeCell ref="K4:K5"/>
    <mergeCell ref="L4:L5"/>
  </mergeCells>
  <pageMargins left="0.7" right="0.16"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sheetPr>
    <tabColor rgb="FFFFFF00"/>
  </sheetPr>
  <dimension ref="A1:AI37"/>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2" s="266" customFormat="1" ht="22.5">
      <c r="A1" s="263" t="s">
        <v>834</v>
      </c>
      <c r="B1" s="264"/>
      <c r="C1" s="264"/>
      <c r="D1" s="264"/>
      <c r="E1" s="264"/>
      <c r="F1" s="264"/>
      <c r="G1" s="264"/>
      <c r="H1" s="264"/>
      <c r="I1" s="264"/>
      <c r="J1" s="265"/>
    </row>
    <row r="2" spans="1:12" s="266" customFormat="1" ht="20.25">
      <c r="A2" s="264"/>
      <c r="B2" s="264"/>
      <c r="C2" s="264"/>
      <c r="D2" s="264"/>
      <c r="E2" s="264"/>
      <c r="F2" s="392"/>
      <c r="G2" s="264"/>
      <c r="H2" s="264"/>
      <c r="I2" s="264"/>
      <c r="J2" s="265"/>
    </row>
    <row r="3" spans="1:12" ht="16.5">
      <c r="A3" s="267"/>
      <c r="I3" s="749"/>
      <c r="J3" s="749"/>
    </row>
    <row r="4" spans="1:12" s="273" customFormat="1" ht="14.25">
      <c r="A4" s="750" t="s">
        <v>462</v>
      </c>
      <c r="B4" s="750" t="s">
        <v>463</v>
      </c>
      <c r="C4" s="750" t="s">
        <v>464</v>
      </c>
      <c r="D4" s="753" t="s">
        <v>465</v>
      </c>
      <c r="E4" s="270" t="s">
        <v>466</v>
      </c>
      <c r="F4" s="271"/>
      <c r="G4" s="272" t="s">
        <v>467</v>
      </c>
      <c r="H4" s="272"/>
      <c r="I4" s="753" t="s">
        <v>468</v>
      </c>
      <c r="J4" s="750" t="s">
        <v>469</v>
      </c>
    </row>
    <row r="5" spans="1:12" s="273" customFormat="1" ht="14.25">
      <c r="A5" s="751"/>
      <c r="B5" s="752"/>
      <c r="C5" s="751"/>
      <c r="D5" s="754"/>
      <c r="E5" s="393" t="s">
        <v>470</v>
      </c>
      <c r="F5" s="393" t="s">
        <v>471</v>
      </c>
      <c r="G5" s="393" t="s">
        <v>472</v>
      </c>
      <c r="H5" s="393" t="s">
        <v>471</v>
      </c>
      <c r="I5" s="754"/>
      <c r="J5" s="751"/>
    </row>
    <row r="6" spans="1:12" s="273" customFormat="1" ht="15">
      <c r="A6" s="748" t="s">
        <v>755</v>
      </c>
      <c r="B6" s="301">
        <v>14</v>
      </c>
      <c r="C6" s="257">
        <v>18</v>
      </c>
      <c r="D6" s="275">
        <v>1</v>
      </c>
      <c r="E6" s="275">
        <v>80</v>
      </c>
      <c r="F6" s="275">
        <f t="shared" ref="F6:F12" si="0">D6*E6</f>
        <v>80</v>
      </c>
      <c r="G6" s="276">
        <v>5.94</v>
      </c>
      <c r="H6" s="277">
        <f t="shared" ref="H6:H12" si="1">ROUND(F6*G6,3)</f>
        <v>475.2</v>
      </c>
      <c r="I6" s="278">
        <f t="shared" ref="I6:I12" si="2">ROUND(3.1416*(C6/1000)^2/4*7850*1,3)</f>
        <v>1.998</v>
      </c>
      <c r="J6" s="279">
        <f t="shared" ref="J6:J12" si="3">ROUND(H6*I6,3)</f>
        <v>949.45</v>
      </c>
      <c r="L6" s="273">
        <v>500</v>
      </c>
    </row>
    <row r="7" spans="1:12" s="273" customFormat="1" ht="15">
      <c r="A7" s="748"/>
      <c r="B7" s="301">
        <f>+B6+1</f>
        <v>15</v>
      </c>
      <c r="C7" s="257">
        <v>12</v>
      </c>
      <c r="D7" s="275">
        <f>+D6</f>
        <v>1</v>
      </c>
      <c r="E7" s="275">
        <v>34</v>
      </c>
      <c r="F7" s="275">
        <f t="shared" si="0"/>
        <v>34</v>
      </c>
      <c r="G7" s="276">
        <v>7.78</v>
      </c>
      <c r="H7" s="277">
        <f t="shared" si="1"/>
        <v>264.52</v>
      </c>
      <c r="I7" s="278">
        <f t="shared" si="2"/>
        <v>0.88800000000000001</v>
      </c>
      <c r="J7" s="279">
        <f t="shared" si="3"/>
        <v>234.89400000000001</v>
      </c>
      <c r="K7" s="280"/>
      <c r="L7" s="273">
        <v>491</v>
      </c>
    </row>
    <row r="8" spans="1:12" s="281" customFormat="1" ht="15">
      <c r="A8" s="748"/>
      <c r="B8" s="301">
        <f>+B7+1</f>
        <v>16</v>
      </c>
      <c r="C8" s="257">
        <v>12</v>
      </c>
      <c r="D8" s="275">
        <f>+D7</f>
        <v>1</v>
      </c>
      <c r="E8" s="275">
        <v>8</v>
      </c>
      <c r="F8" s="275">
        <f t="shared" si="0"/>
        <v>8</v>
      </c>
      <c r="G8" s="276">
        <v>4.74</v>
      </c>
      <c r="H8" s="277">
        <f t="shared" si="1"/>
        <v>37.92</v>
      </c>
      <c r="I8" s="278">
        <f t="shared" si="2"/>
        <v>0.88800000000000001</v>
      </c>
      <c r="J8" s="279">
        <f t="shared" si="3"/>
        <v>33.673000000000002</v>
      </c>
      <c r="L8" s="281">
        <v>546.5</v>
      </c>
    </row>
    <row r="9" spans="1:12" s="273" customFormat="1" ht="15">
      <c r="A9" s="748"/>
      <c r="B9" s="301">
        <f>+B8+1</f>
        <v>17</v>
      </c>
      <c r="C9" s="257">
        <v>12</v>
      </c>
      <c r="D9" s="275">
        <f>+D8</f>
        <v>1</v>
      </c>
      <c r="E9" s="275">
        <v>50</v>
      </c>
      <c r="F9" s="275">
        <f t="shared" si="0"/>
        <v>50</v>
      </c>
      <c r="G9" s="276">
        <v>1.9</v>
      </c>
      <c r="H9" s="277">
        <f t="shared" si="1"/>
        <v>95</v>
      </c>
      <c r="I9" s="278">
        <f t="shared" si="2"/>
        <v>0.88800000000000001</v>
      </c>
      <c r="J9" s="279">
        <f t="shared" si="3"/>
        <v>84.36</v>
      </c>
      <c r="L9" s="273">
        <v>620</v>
      </c>
    </row>
    <row r="10" spans="1:12" s="273" customFormat="1" ht="15">
      <c r="A10" s="748"/>
      <c r="B10" s="301">
        <f>+B9+1</f>
        <v>18</v>
      </c>
      <c r="C10" s="257">
        <v>12</v>
      </c>
      <c r="D10" s="275">
        <f>+D9</f>
        <v>1</v>
      </c>
      <c r="E10" s="275">
        <v>50</v>
      </c>
      <c r="F10" s="275">
        <f t="shared" si="0"/>
        <v>50</v>
      </c>
      <c r="G10" s="276">
        <v>0.77</v>
      </c>
      <c r="H10" s="277">
        <f t="shared" si="1"/>
        <v>38.5</v>
      </c>
      <c r="I10" s="278">
        <f t="shared" si="2"/>
        <v>0.88800000000000001</v>
      </c>
      <c r="J10" s="279">
        <f t="shared" si="3"/>
        <v>34.188000000000002</v>
      </c>
      <c r="L10" s="273">
        <v>608</v>
      </c>
    </row>
    <row r="11" spans="1:12" s="273" customFormat="1" ht="27.75" customHeight="1">
      <c r="A11" s="748" t="s">
        <v>756</v>
      </c>
      <c r="B11" s="301">
        <v>68</v>
      </c>
      <c r="C11" s="257">
        <v>6</v>
      </c>
      <c r="D11" s="275">
        <v>1</v>
      </c>
      <c r="E11" s="275">
        <v>43</v>
      </c>
      <c r="F11" s="275">
        <f t="shared" si="0"/>
        <v>43</v>
      </c>
      <c r="G11" s="276">
        <v>6.78</v>
      </c>
      <c r="H11" s="277">
        <f t="shared" si="1"/>
        <v>291.54000000000002</v>
      </c>
      <c r="I11" s="278">
        <f t="shared" si="2"/>
        <v>0.222</v>
      </c>
      <c r="J11" s="279">
        <f t="shared" si="3"/>
        <v>64.721999999999994</v>
      </c>
    </row>
    <row r="12" spans="1:12" s="273" customFormat="1" ht="27.75" customHeight="1">
      <c r="A12" s="748"/>
      <c r="B12" s="301">
        <v>69</v>
      </c>
      <c r="C12" s="257">
        <v>6</v>
      </c>
      <c r="D12" s="275">
        <v>1</v>
      </c>
      <c r="E12" s="275">
        <v>68</v>
      </c>
      <c r="F12" s="275">
        <f t="shared" si="0"/>
        <v>68</v>
      </c>
      <c r="G12" s="276">
        <v>4.83</v>
      </c>
      <c r="H12" s="277">
        <f t="shared" si="1"/>
        <v>328.44</v>
      </c>
      <c r="I12" s="278">
        <f t="shared" si="2"/>
        <v>0.222</v>
      </c>
      <c r="J12" s="279">
        <f t="shared" si="3"/>
        <v>72.914000000000001</v>
      </c>
    </row>
    <row r="13" spans="1:12" s="273" customFormat="1" ht="15">
      <c r="A13" s="261"/>
      <c r="B13" s="394"/>
      <c r="C13" s="395"/>
      <c r="D13" s="284"/>
      <c r="E13" s="284"/>
      <c r="F13" s="284"/>
      <c r="G13" s="285"/>
      <c r="H13" s="286"/>
      <c r="I13" s="287"/>
      <c r="J13" s="288"/>
    </row>
    <row r="14" spans="1:12" s="291" customFormat="1" ht="15">
      <c r="A14" s="261"/>
      <c r="B14" s="289" t="s">
        <v>473</v>
      </c>
      <c r="C14" s="284"/>
      <c r="D14" s="284"/>
      <c r="E14" s="284"/>
      <c r="F14" s="290"/>
      <c r="G14" s="285"/>
      <c r="H14" s="286"/>
      <c r="I14" s="287"/>
      <c r="K14" s="286"/>
    </row>
    <row r="15" spans="1:12" s="291" customFormat="1" ht="15">
      <c r="A15" s="261"/>
      <c r="B15" s="292" t="s">
        <v>474</v>
      </c>
      <c r="C15" s="284"/>
      <c r="D15" s="284"/>
      <c r="F15" s="293">
        <f>SUMIF($C$6:$C$12,6,$J$6:$J$12)</f>
        <v>137.636</v>
      </c>
      <c r="G15" s="294" t="s">
        <v>273</v>
      </c>
      <c r="I15" s="287"/>
      <c r="K15" s="295"/>
    </row>
    <row r="16" spans="1:12" s="291" customFormat="1" ht="15">
      <c r="A16" s="261"/>
      <c r="B16" s="292" t="s">
        <v>754</v>
      </c>
      <c r="C16" s="284"/>
      <c r="D16" s="284"/>
      <c r="F16" s="293">
        <f>SUMIF($C$6:$C$12,12,$J$6:$J$12)</f>
        <v>387.11500000000001</v>
      </c>
      <c r="G16" s="294" t="s">
        <v>273</v>
      </c>
      <c r="I16" s="287"/>
      <c r="K16" s="295"/>
    </row>
    <row r="17" spans="1:35" s="291" customFormat="1" ht="15">
      <c r="A17" s="261"/>
      <c r="B17" s="292" t="s">
        <v>742</v>
      </c>
      <c r="C17" s="284"/>
      <c r="D17" s="284"/>
      <c r="F17" s="293">
        <f>SUMIF($C$6:$C$12,18,$J$6:$J$12)</f>
        <v>949.45</v>
      </c>
      <c r="G17" s="294" t="s">
        <v>273</v>
      </c>
      <c r="I17" s="287"/>
      <c r="K17" s="295"/>
    </row>
    <row r="18" spans="1:35" s="291" customFormat="1" ht="15">
      <c r="A18" s="261"/>
      <c r="B18" s="292"/>
      <c r="C18" s="284"/>
      <c r="D18" s="284"/>
      <c r="F18" s="293"/>
      <c r="G18" s="294"/>
      <c r="I18" s="287"/>
      <c r="K18" s="295"/>
    </row>
    <row r="19" spans="1:35" s="437" customFormat="1">
      <c r="D19" s="438" t="s">
        <v>788</v>
      </c>
      <c r="G19" s="439"/>
      <c r="I19" s="438" t="s">
        <v>789</v>
      </c>
      <c r="P19" s="438"/>
      <c r="Q19" s="438"/>
      <c r="R19" s="438"/>
      <c r="S19" s="438"/>
      <c r="T19" s="438"/>
      <c r="U19" s="438"/>
      <c r="V19" s="438"/>
      <c r="W19" s="438"/>
      <c r="X19" s="438"/>
      <c r="Y19" s="438"/>
      <c r="Z19" s="438"/>
      <c r="AA19" s="438"/>
    </row>
    <row r="20" spans="1:35" s="417" customFormat="1" ht="15">
      <c r="F20" s="436"/>
      <c r="G20" s="440"/>
      <c r="H20" s="436"/>
      <c r="J20" s="441"/>
      <c r="L20" s="441"/>
      <c r="M20" s="436"/>
      <c r="N20" s="436"/>
      <c r="AH20" s="441"/>
    </row>
    <row r="21" spans="1:35" s="417" customFormat="1" ht="15">
      <c r="F21" s="436"/>
      <c r="G21" s="436"/>
      <c r="H21" s="436"/>
      <c r="J21" s="441"/>
      <c r="L21" s="441"/>
      <c r="M21" s="436"/>
      <c r="N21" s="436"/>
    </row>
    <row r="22" spans="1:35" s="417" customFormat="1" ht="15">
      <c r="F22" s="436"/>
      <c r="G22" s="436"/>
      <c r="H22" s="436"/>
      <c r="M22" s="436"/>
      <c r="N22" s="436"/>
      <c r="AG22" s="433"/>
      <c r="AH22" s="433"/>
      <c r="AI22" s="433"/>
    </row>
    <row r="23" spans="1:35" s="417" customFormat="1" ht="15">
      <c r="F23" s="436"/>
      <c r="G23" s="436"/>
      <c r="H23" s="436"/>
      <c r="M23" s="436"/>
      <c r="N23" s="436"/>
    </row>
    <row r="24" spans="1:35" s="417" customFormat="1">
      <c r="D24" s="442" t="s">
        <v>792</v>
      </c>
      <c r="E24" s="436"/>
      <c r="F24" s="436"/>
      <c r="G24" s="436"/>
      <c r="H24" s="436"/>
      <c r="I24" s="443" t="s">
        <v>820</v>
      </c>
      <c r="M24" s="436"/>
      <c r="N24" s="436"/>
    </row>
    <row r="25" spans="1:35" s="262" customFormat="1">
      <c r="A25" s="261"/>
      <c r="B25" s="297"/>
      <c r="C25" s="296"/>
      <c r="D25" s="296"/>
      <c r="E25" s="296"/>
      <c r="F25" s="296"/>
      <c r="G25" s="296"/>
      <c r="H25" s="286"/>
      <c r="I25" s="260"/>
      <c r="J25" s="260"/>
      <c r="K25" s="262" t="s">
        <v>475</v>
      </c>
    </row>
    <row r="26" spans="1:35" s="262" customFormat="1">
      <c r="A26" s="261"/>
      <c r="B26" s="297"/>
      <c r="C26" s="296"/>
      <c r="D26" s="296"/>
      <c r="E26" s="296"/>
      <c r="F26" s="296"/>
      <c r="G26" s="296"/>
      <c r="H26" s="286"/>
      <c r="I26" s="260"/>
      <c r="J26" s="260"/>
    </row>
    <row r="27" spans="1:35" s="262" customFormat="1">
      <c r="A27" s="261"/>
      <c r="B27" s="297"/>
      <c r="C27" s="296"/>
      <c r="D27" s="296"/>
      <c r="E27" s="296"/>
      <c r="F27" s="296"/>
      <c r="G27" s="296"/>
      <c r="H27" s="286"/>
      <c r="I27" s="260"/>
      <c r="J27" s="259"/>
    </row>
    <row r="28" spans="1:35" s="262" customFormat="1">
      <c r="A28" s="261"/>
      <c r="D28" s="297"/>
      <c r="E28" s="298"/>
      <c r="G28" s="297"/>
      <c r="H28" s="286"/>
      <c r="I28" s="260"/>
      <c r="J28" s="259"/>
    </row>
    <row r="32" spans="1:35"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row r="35" spans="1:10" s="262" customFormat="1" ht="15">
      <c r="A35" s="261"/>
      <c r="B35" s="284"/>
      <c r="C35" s="284"/>
      <c r="D35" s="284"/>
      <c r="E35" s="284"/>
      <c r="F35" s="284"/>
      <c r="G35" s="285"/>
      <c r="H35" s="286"/>
      <c r="I35" s="287"/>
      <c r="J35" s="288"/>
    </row>
    <row r="36" spans="1:10" s="262" customFormat="1" ht="15">
      <c r="A36" s="261"/>
      <c r="B36" s="284"/>
      <c r="C36" s="284"/>
      <c r="D36" s="284"/>
      <c r="E36" s="284"/>
      <c r="F36" s="284"/>
      <c r="G36" s="285"/>
      <c r="H36" s="286"/>
      <c r="I36" s="287"/>
      <c r="J36" s="288"/>
    </row>
    <row r="37" spans="1:10" s="262" customFormat="1" ht="15">
      <c r="A37" s="261"/>
      <c r="B37" s="284"/>
      <c r="C37" s="284"/>
      <c r="D37" s="284"/>
      <c r="E37" s="284"/>
      <c r="F37" s="284"/>
      <c r="G37" s="285"/>
      <c r="H37" s="286"/>
      <c r="I37" s="287"/>
      <c r="J37" s="288"/>
    </row>
  </sheetData>
  <mergeCells count="9">
    <mergeCell ref="A6:A10"/>
    <mergeCell ref="A11:A12"/>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sheetPr>
    <tabColor rgb="FFFFFF00"/>
  </sheetPr>
  <dimension ref="A1:AI46"/>
  <sheetViews>
    <sheetView topLeftCell="A13"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0" s="266" customFormat="1" ht="22.5">
      <c r="A1" s="263" t="s">
        <v>828</v>
      </c>
      <c r="B1" s="264"/>
      <c r="C1" s="264"/>
      <c r="D1" s="264"/>
      <c r="E1" s="264"/>
      <c r="F1" s="264"/>
      <c r="G1" s="264"/>
      <c r="H1" s="264"/>
      <c r="I1" s="264"/>
      <c r="J1" s="265"/>
    </row>
    <row r="2" spans="1:10" s="266" customFormat="1" ht="20.25">
      <c r="A2" s="264"/>
      <c r="B2" s="264"/>
      <c r="C2" s="264"/>
      <c r="D2" s="264"/>
      <c r="E2" s="264"/>
      <c r="F2" s="392"/>
      <c r="G2" s="264"/>
      <c r="H2" s="264"/>
      <c r="I2" s="264"/>
      <c r="J2" s="265"/>
    </row>
    <row r="3" spans="1:10" ht="16.5">
      <c r="A3" s="267"/>
      <c r="I3" s="749"/>
      <c r="J3" s="749"/>
    </row>
    <row r="4" spans="1:10" s="273" customFormat="1" ht="14.25">
      <c r="A4" s="750" t="s">
        <v>462</v>
      </c>
      <c r="B4" s="750" t="s">
        <v>463</v>
      </c>
      <c r="C4" s="750" t="s">
        <v>464</v>
      </c>
      <c r="D4" s="753" t="s">
        <v>465</v>
      </c>
      <c r="E4" s="270" t="s">
        <v>466</v>
      </c>
      <c r="F4" s="271"/>
      <c r="G4" s="272" t="s">
        <v>467</v>
      </c>
      <c r="H4" s="272"/>
      <c r="I4" s="753" t="s">
        <v>468</v>
      </c>
      <c r="J4" s="750" t="s">
        <v>469</v>
      </c>
    </row>
    <row r="5" spans="1:10" s="273" customFormat="1" ht="14.25">
      <c r="A5" s="751"/>
      <c r="B5" s="752"/>
      <c r="C5" s="751"/>
      <c r="D5" s="754"/>
      <c r="E5" s="466" t="s">
        <v>470</v>
      </c>
      <c r="F5" s="466" t="s">
        <v>471</v>
      </c>
      <c r="G5" s="466" t="s">
        <v>472</v>
      </c>
      <c r="H5" s="466" t="s">
        <v>471</v>
      </c>
      <c r="I5" s="754"/>
      <c r="J5" s="751"/>
    </row>
    <row r="6" spans="1:10" s="273" customFormat="1" ht="15">
      <c r="A6" s="748" t="s">
        <v>832</v>
      </c>
      <c r="B6" s="301">
        <v>25</v>
      </c>
      <c r="C6" s="257">
        <v>10</v>
      </c>
      <c r="D6" s="275">
        <v>1</v>
      </c>
      <c r="E6" s="275">
        <v>16</v>
      </c>
      <c r="F6" s="275">
        <f t="shared" ref="F6:F21" si="0">D6*E6</f>
        <v>16</v>
      </c>
      <c r="G6" s="276">
        <v>2.8</v>
      </c>
      <c r="H6" s="277">
        <f t="shared" ref="H6:H21" si="1">ROUND(F6*G6,3)</f>
        <v>44.8</v>
      </c>
      <c r="I6" s="278">
        <f t="shared" ref="I6:I21" si="2">ROUND(3.1416*(C6/1000)^2/4*7850*1,3)</f>
        <v>0.61699999999999999</v>
      </c>
      <c r="J6" s="279">
        <f t="shared" ref="J6:J21" si="3">ROUND(H6*I6,3)</f>
        <v>27.641999999999999</v>
      </c>
    </row>
    <row r="7" spans="1:10" s="273" customFormat="1" ht="15">
      <c r="A7" s="748"/>
      <c r="B7" s="301">
        <v>26</v>
      </c>
      <c r="C7" s="257">
        <v>10</v>
      </c>
      <c r="D7" s="275">
        <f t="shared" ref="D7:D20" si="4">+D6</f>
        <v>1</v>
      </c>
      <c r="E7" s="275">
        <v>9</v>
      </c>
      <c r="F7" s="275">
        <f t="shared" si="0"/>
        <v>9</v>
      </c>
      <c r="G7" s="276">
        <v>2.0049999999999999</v>
      </c>
      <c r="H7" s="277">
        <f t="shared" si="1"/>
        <v>18.045000000000002</v>
      </c>
      <c r="I7" s="278">
        <f t="shared" si="2"/>
        <v>0.61699999999999999</v>
      </c>
      <c r="J7" s="279">
        <f t="shared" si="3"/>
        <v>11.134</v>
      </c>
    </row>
    <row r="8" spans="1:10" s="273" customFormat="1" ht="15">
      <c r="A8" s="748"/>
      <c r="B8" s="301">
        <v>27</v>
      </c>
      <c r="C8" s="257">
        <v>10</v>
      </c>
      <c r="D8" s="275">
        <f t="shared" si="4"/>
        <v>1</v>
      </c>
      <c r="E8" s="275">
        <v>79</v>
      </c>
      <c r="F8" s="275">
        <f t="shared" si="0"/>
        <v>79</v>
      </c>
      <c r="G8" s="276">
        <v>1.2</v>
      </c>
      <c r="H8" s="277">
        <f t="shared" si="1"/>
        <v>94.8</v>
      </c>
      <c r="I8" s="278">
        <f t="shared" si="2"/>
        <v>0.61699999999999999</v>
      </c>
      <c r="J8" s="279">
        <f t="shared" si="3"/>
        <v>58.491999999999997</v>
      </c>
    </row>
    <row r="9" spans="1:10" s="273" customFormat="1" ht="15">
      <c r="A9" s="748"/>
      <c r="B9" s="301">
        <v>28</v>
      </c>
      <c r="C9" s="257">
        <v>10</v>
      </c>
      <c r="D9" s="275">
        <f t="shared" si="4"/>
        <v>1</v>
      </c>
      <c r="E9" s="275">
        <v>6</v>
      </c>
      <c r="F9" s="275">
        <f t="shared" si="0"/>
        <v>6</v>
      </c>
      <c r="G9" s="276">
        <v>20.7</v>
      </c>
      <c r="H9" s="277">
        <f t="shared" si="1"/>
        <v>124.2</v>
      </c>
      <c r="I9" s="278">
        <f t="shared" si="2"/>
        <v>0.61699999999999999</v>
      </c>
      <c r="J9" s="279">
        <f t="shared" si="3"/>
        <v>76.631</v>
      </c>
    </row>
    <row r="10" spans="1:10" s="273" customFormat="1" ht="15">
      <c r="A10" s="748"/>
      <c r="B10" s="301">
        <v>29</v>
      </c>
      <c r="C10" s="257">
        <v>10</v>
      </c>
      <c r="D10" s="275">
        <f t="shared" si="4"/>
        <v>1</v>
      </c>
      <c r="E10" s="275">
        <v>16</v>
      </c>
      <c r="F10" s="275">
        <f t="shared" si="0"/>
        <v>16</v>
      </c>
      <c r="G10" s="276">
        <v>4.2249999999999996</v>
      </c>
      <c r="H10" s="277">
        <f t="shared" si="1"/>
        <v>67.599999999999994</v>
      </c>
      <c r="I10" s="278">
        <f t="shared" si="2"/>
        <v>0.61699999999999999</v>
      </c>
      <c r="J10" s="279">
        <f t="shared" si="3"/>
        <v>41.709000000000003</v>
      </c>
    </row>
    <row r="11" spans="1:10" s="273" customFormat="1" ht="15">
      <c r="A11" s="748"/>
      <c r="B11" s="301">
        <v>30</v>
      </c>
      <c r="C11" s="257">
        <v>16</v>
      </c>
      <c r="D11" s="275">
        <f t="shared" si="4"/>
        <v>1</v>
      </c>
      <c r="E11" s="275">
        <v>16</v>
      </c>
      <c r="F11" s="275">
        <f t="shared" si="0"/>
        <v>16</v>
      </c>
      <c r="G11" s="276">
        <v>2.8</v>
      </c>
      <c r="H11" s="277">
        <f t="shared" si="1"/>
        <v>44.8</v>
      </c>
      <c r="I11" s="278">
        <f t="shared" si="2"/>
        <v>1.5780000000000001</v>
      </c>
      <c r="J11" s="279">
        <f t="shared" si="3"/>
        <v>70.694000000000003</v>
      </c>
    </row>
    <row r="12" spans="1:10" s="273" customFormat="1" ht="15">
      <c r="A12" s="748"/>
      <c r="B12" s="301">
        <v>31</v>
      </c>
      <c r="C12" s="257">
        <v>16</v>
      </c>
      <c r="D12" s="275">
        <f t="shared" si="4"/>
        <v>1</v>
      </c>
      <c r="E12" s="275">
        <v>9</v>
      </c>
      <c r="F12" s="275">
        <f t="shared" si="0"/>
        <v>9</v>
      </c>
      <c r="G12" s="276">
        <v>2.0049999999999999</v>
      </c>
      <c r="H12" s="277">
        <f t="shared" si="1"/>
        <v>18.045000000000002</v>
      </c>
      <c r="I12" s="278">
        <f t="shared" si="2"/>
        <v>1.5780000000000001</v>
      </c>
      <c r="J12" s="279">
        <f t="shared" si="3"/>
        <v>28.475000000000001</v>
      </c>
    </row>
    <row r="13" spans="1:10" s="273" customFormat="1" ht="15">
      <c r="A13" s="748"/>
      <c r="B13" s="301">
        <v>32</v>
      </c>
      <c r="C13" s="257">
        <v>16</v>
      </c>
      <c r="D13" s="275">
        <f t="shared" si="4"/>
        <v>1</v>
      </c>
      <c r="E13" s="275">
        <v>77</v>
      </c>
      <c r="F13" s="275">
        <f t="shared" si="0"/>
        <v>77</v>
      </c>
      <c r="G13" s="276">
        <v>1.2</v>
      </c>
      <c r="H13" s="277">
        <f t="shared" si="1"/>
        <v>92.4</v>
      </c>
      <c r="I13" s="278">
        <f t="shared" si="2"/>
        <v>1.5780000000000001</v>
      </c>
      <c r="J13" s="279">
        <f t="shared" si="3"/>
        <v>145.80699999999999</v>
      </c>
    </row>
    <row r="14" spans="1:10" s="273" customFormat="1" ht="15">
      <c r="A14" s="748"/>
      <c r="B14" s="301">
        <v>33</v>
      </c>
      <c r="C14" s="257">
        <v>10</v>
      </c>
      <c r="D14" s="275">
        <f t="shared" si="4"/>
        <v>1</v>
      </c>
      <c r="E14" s="275">
        <v>6</v>
      </c>
      <c r="F14" s="275">
        <f t="shared" si="0"/>
        <v>6</v>
      </c>
      <c r="G14" s="276">
        <v>20.51</v>
      </c>
      <c r="H14" s="277">
        <f t="shared" si="1"/>
        <v>123.06</v>
      </c>
      <c r="I14" s="278">
        <f t="shared" si="2"/>
        <v>0.61699999999999999</v>
      </c>
      <c r="J14" s="279">
        <f t="shared" si="3"/>
        <v>75.927999999999997</v>
      </c>
    </row>
    <row r="15" spans="1:10" s="273" customFormat="1" ht="15">
      <c r="A15" s="748"/>
      <c r="B15" s="301">
        <v>39</v>
      </c>
      <c r="C15" s="257">
        <v>12</v>
      </c>
      <c r="D15" s="275">
        <v>1</v>
      </c>
      <c r="E15" s="275">
        <v>8</v>
      </c>
      <c r="F15" s="275">
        <f t="shared" si="0"/>
        <v>8</v>
      </c>
      <c r="G15" s="276">
        <v>2.8</v>
      </c>
      <c r="H15" s="277">
        <f t="shared" si="1"/>
        <v>22.4</v>
      </c>
      <c r="I15" s="278">
        <f t="shared" si="2"/>
        <v>0.88800000000000001</v>
      </c>
      <c r="J15" s="279">
        <f t="shared" si="3"/>
        <v>19.890999999999998</v>
      </c>
    </row>
    <row r="16" spans="1:10" s="273" customFormat="1" ht="15">
      <c r="A16" s="748"/>
      <c r="B16" s="301">
        <v>40</v>
      </c>
      <c r="C16" s="257">
        <v>12</v>
      </c>
      <c r="D16" s="275">
        <f t="shared" si="4"/>
        <v>1</v>
      </c>
      <c r="E16" s="275">
        <v>36</v>
      </c>
      <c r="F16" s="275">
        <f t="shared" si="0"/>
        <v>36</v>
      </c>
      <c r="G16" s="276">
        <v>1.7150000000000001</v>
      </c>
      <c r="H16" s="277">
        <f t="shared" si="1"/>
        <v>61.74</v>
      </c>
      <c r="I16" s="278">
        <f t="shared" si="2"/>
        <v>0.88800000000000001</v>
      </c>
      <c r="J16" s="279">
        <f t="shared" si="3"/>
        <v>54.825000000000003</v>
      </c>
    </row>
    <row r="17" spans="1:35" s="273" customFormat="1" ht="15">
      <c r="A17" s="748"/>
      <c r="B17" s="301">
        <v>41</v>
      </c>
      <c r="C17" s="257">
        <v>18</v>
      </c>
      <c r="D17" s="275">
        <f t="shared" si="4"/>
        <v>1</v>
      </c>
      <c r="E17" s="275">
        <v>5</v>
      </c>
      <c r="F17" s="275">
        <f t="shared" si="0"/>
        <v>5</v>
      </c>
      <c r="G17" s="276">
        <v>4.4000000000000004</v>
      </c>
      <c r="H17" s="277">
        <f t="shared" si="1"/>
        <v>22</v>
      </c>
      <c r="I17" s="278">
        <f t="shared" si="2"/>
        <v>1.998</v>
      </c>
      <c r="J17" s="279">
        <f t="shared" si="3"/>
        <v>43.956000000000003</v>
      </c>
    </row>
    <row r="18" spans="1:35" s="273" customFormat="1" ht="15">
      <c r="A18" s="748"/>
      <c r="B18" s="301">
        <v>42</v>
      </c>
      <c r="C18" s="257">
        <v>18</v>
      </c>
      <c r="D18" s="275">
        <f t="shared" si="4"/>
        <v>1</v>
      </c>
      <c r="E18" s="275">
        <v>9</v>
      </c>
      <c r="F18" s="275">
        <f t="shared" si="0"/>
        <v>9</v>
      </c>
      <c r="G18" s="276">
        <v>2.9449999999999998</v>
      </c>
      <c r="H18" s="277">
        <f t="shared" si="1"/>
        <v>26.504999999999999</v>
      </c>
      <c r="I18" s="278">
        <f t="shared" si="2"/>
        <v>1.998</v>
      </c>
      <c r="J18" s="279">
        <f t="shared" si="3"/>
        <v>52.957000000000001</v>
      </c>
    </row>
    <row r="19" spans="1:35" s="273" customFormat="1" ht="15">
      <c r="A19" s="748"/>
      <c r="B19" s="301">
        <v>43</v>
      </c>
      <c r="C19" s="257">
        <v>12</v>
      </c>
      <c r="D19" s="275">
        <f t="shared" si="4"/>
        <v>1</v>
      </c>
      <c r="E19" s="275">
        <v>5</v>
      </c>
      <c r="F19" s="275">
        <f t="shared" si="0"/>
        <v>5</v>
      </c>
      <c r="G19" s="276">
        <v>4.4000000000000004</v>
      </c>
      <c r="H19" s="277">
        <f t="shared" si="1"/>
        <v>22</v>
      </c>
      <c r="I19" s="278">
        <f t="shared" si="2"/>
        <v>0.88800000000000001</v>
      </c>
      <c r="J19" s="279">
        <f t="shared" si="3"/>
        <v>19.536000000000001</v>
      </c>
    </row>
    <row r="20" spans="1:35" s="273" customFormat="1" ht="15">
      <c r="A20" s="748"/>
      <c r="B20" s="301">
        <v>44</v>
      </c>
      <c r="C20" s="257">
        <v>12</v>
      </c>
      <c r="D20" s="275">
        <f t="shared" si="4"/>
        <v>1</v>
      </c>
      <c r="E20" s="275">
        <v>9</v>
      </c>
      <c r="F20" s="275">
        <f t="shared" si="0"/>
        <v>9</v>
      </c>
      <c r="G20" s="276">
        <v>2.9449999999999998</v>
      </c>
      <c r="H20" s="277">
        <f t="shared" si="1"/>
        <v>26.504999999999999</v>
      </c>
      <c r="I20" s="278">
        <f t="shared" si="2"/>
        <v>0.88800000000000001</v>
      </c>
      <c r="J20" s="279">
        <f t="shared" si="3"/>
        <v>23.536000000000001</v>
      </c>
    </row>
    <row r="21" spans="1:35" s="273" customFormat="1" ht="15">
      <c r="A21" s="748"/>
      <c r="B21" s="301">
        <v>45</v>
      </c>
      <c r="C21" s="257">
        <v>16</v>
      </c>
      <c r="D21" s="275">
        <v>9</v>
      </c>
      <c r="E21" s="275">
        <v>4</v>
      </c>
      <c r="F21" s="275">
        <f t="shared" si="0"/>
        <v>36</v>
      </c>
      <c r="G21" s="276">
        <v>0.45</v>
      </c>
      <c r="H21" s="277">
        <f t="shared" si="1"/>
        <v>16.2</v>
      </c>
      <c r="I21" s="278">
        <f t="shared" si="2"/>
        <v>1.5780000000000001</v>
      </c>
      <c r="J21" s="279">
        <f t="shared" si="3"/>
        <v>25.564</v>
      </c>
    </row>
    <row r="22" spans="1:35" s="262" customFormat="1" ht="15">
      <c r="A22" s="261"/>
      <c r="B22" s="284"/>
      <c r="C22" s="284"/>
      <c r="D22" s="284"/>
      <c r="E22" s="284"/>
      <c r="F22" s="284"/>
      <c r="G22" s="285"/>
      <c r="H22" s="286"/>
      <c r="I22" s="287"/>
      <c r="J22" s="288"/>
    </row>
    <row r="23" spans="1:35" s="291" customFormat="1" ht="15">
      <c r="A23" s="261"/>
      <c r="B23" s="289" t="s">
        <v>473</v>
      </c>
      <c r="C23" s="284"/>
      <c r="D23" s="284"/>
      <c r="E23" s="284"/>
      <c r="F23" s="290"/>
      <c r="G23" s="285"/>
      <c r="H23" s="286"/>
      <c r="I23" s="287"/>
      <c r="K23" s="286"/>
    </row>
    <row r="24" spans="1:35" s="291" customFormat="1" ht="15">
      <c r="A24" s="261"/>
      <c r="B24" s="292" t="s">
        <v>752</v>
      </c>
      <c r="C24" s="284"/>
      <c r="D24" s="284"/>
      <c r="F24" s="293">
        <f>SUMIF($C$6:$C$21,10,$J$6:$J$21)</f>
        <v>291.536</v>
      </c>
      <c r="G24" s="294" t="s">
        <v>273</v>
      </c>
      <c r="I24" s="287"/>
      <c r="K24" s="295"/>
    </row>
    <row r="25" spans="1:35" s="291" customFormat="1" ht="15">
      <c r="A25" s="261"/>
      <c r="B25" s="292" t="s">
        <v>754</v>
      </c>
      <c r="C25" s="284"/>
      <c r="D25" s="284"/>
      <c r="F25" s="293">
        <f>SUMIF($C$6:$C$21,12,$J$6:$J$21)</f>
        <v>117.78800000000001</v>
      </c>
      <c r="G25" s="294" t="s">
        <v>273</v>
      </c>
      <c r="I25" s="287"/>
      <c r="K25" s="295">
        <f>+F25+'Cthép ban day canh(Lồ Ồ) sông'!F26+'Cthép tương canh(Lồ Ồ) đồng'!F14+'Cthép ban day canh(Lồ Ồ) đồng'!F14</f>
        <v>732.70200000000011</v>
      </c>
    </row>
    <row r="26" spans="1:35" s="291" customFormat="1" ht="15">
      <c r="A26" s="261"/>
      <c r="B26" s="292" t="s">
        <v>741</v>
      </c>
      <c r="C26" s="284"/>
      <c r="D26" s="284"/>
      <c r="F26" s="293">
        <f>SUMIF($C$6:$C$21,16,$J$6:$J$21)</f>
        <v>270.54000000000002</v>
      </c>
      <c r="G26" s="294" t="s">
        <v>273</v>
      </c>
      <c r="I26" s="287"/>
      <c r="K26" s="295">
        <f>+F26+'Cthép ban day canh(Lồ Ồ) sông'!F27</f>
        <v>714.51099999999997</v>
      </c>
    </row>
    <row r="27" spans="1:35" s="291" customFormat="1" ht="15">
      <c r="A27" s="261"/>
      <c r="B27" s="292" t="s">
        <v>742</v>
      </c>
      <c r="C27" s="284"/>
      <c r="D27" s="284"/>
      <c r="F27" s="293">
        <f>SUMIF($C$6:$C$21,18,$J$6:$J$21)</f>
        <v>96.913000000000011</v>
      </c>
      <c r="G27" s="294" t="s">
        <v>273</v>
      </c>
      <c r="I27" s="287"/>
      <c r="K27" s="295">
        <f>+F27+'Cthép ban day canh(Lồ Ồ) sông'!F28+'Cthép tương canh(Lồ Ồ) đồng'!F15+'Cthép ban day canh(Lồ Ồ) đồng'!F15</f>
        <v>1070.8580000000002</v>
      </c>
    </row>
    <row r="28" spans="1:35" s="291" customFormat="1" ht="15">
      <c r="A28" s="261"/>
      <c r="B28" s="292"/>
      <c r="C28" s="284"/>
      <c r="D28" s="284"/>
      <c r="F28" s="293"/>
      <c r="G28" s="294"/>
      <c r="I28" s="287"/>
      <c r="K28" s="295"/>
    </row>
    <row r="29" spans="1:35" s="437" customFormat="1">
      <c r="D29" s="438" t="s">
        <v>788</v>
      </c>
      <c r="G29" s="439"/>
      <c r="I29" s="438" t="s">
        <v>789</v>
      </c>
      <c r="P29" s="438"/>
      <c r="Q29" s="438"/>
      <c r="R29" s="438"/>
      <c r="S29" s="438"/>
      <c r="T29" s="438"/>
      <c r="U29" s="438"/>
      <c r="V29" s="438"/>
      <c r="W29" s="438"/>
      <c r="X29" s="438"/>
      <c r="Y29" s="438"/>
      <c r="Z29" s="438"/>
      <c r="AA29" s="438"/>
    </row>
    <row r="30" spans="1:35" s="417" customFormat="1" ht="15">
      <c r="F30" s="436"/>
      <c r="G30" s="440"/>
      <c r="H30" s="436"/>
      <c r="J30" s="441"/>
      <c r="L30" s="441"/>
      <c r="M30" s="436"/>
      <c r="N30" s="436"/>
      <c r="AH30" s="441"/>
    </row>
    <row r="31" spans="1:35" s="417" customFormat="1" ht="15">
      <c r="F31" s="436"/>
      <c r="G31" s="436"/>
      <c r="H31" s="436"/>
      <c r="J31" s="441"/>
      <c r="L31" s="441"/>
      <c r="M31" s="436"/>
      <c r="N31" s="436"/>
    </row>
    <row r="32" spans="1:35" s="417" customFormat="1" ht="15">
      <c r="F32" s="436"/>
      <c r="G32" s="436"/>
      <c r="H32" s="436"/>
      <c r="M32" s="436"/>
      <c r="N32" s="436"/>
      <c r="AG32" s="433"/>
      <c r="AH32" s="433"/>
      <c r="AI32" s="433"/>
    </row>
    <row r="33" spans="1:14" s="417" customFormat="1" ht="15">
      <c r="F33" s="436"/>
      <c r="G33" s="436"/>
      <c r="H33" s="436"/>
      <c r="M33" s="436"/>
      <c r="N33" s="436"/>
    </row>
    <row r="34" spans="1:14" s="417" customFormat="1">
      <c r="D34" s="442" t="s">
        <v>792</v>
      </c>
      <c r="E34" s="436"/>
      <c r="F34" s="436"/>
      <c r="G34" s="436"/>
      <c r="H34" s="436"/>
      <c r="I34" s="443" t="s">
        <v>820</v>
      </c>
      <c r="M34" s="436"/>
      <c r="N34" s="436"/>
    </row>
    <row r="35" spans="1:14" s="262" customFormat="1">
      <c r="A35" s="261"/>
      <c r="B35" s="297"/>
      <c r="C35" s="296"/>
      <c r="D35" s="296"/>
      <c r="E35" s="296"/>
      <c r="F35" s="296"/>
      <c r="G35" s="296"/>
      <c r="H35" s="286"/>
      <c r="I35" s="260"/>
      <c r="J35" s="260"/>
    </row>
    <row r="36" spans="1:14" s="262" customFormat="1">
      <c r="A36" s="261"/>
      <c r="B36" s="297"/>
      <c r="C36" s="296"/>
      <c r="D36" s="296"/>
      <c r="E36" s="296"/>
      <c r="F36" s="296"/>
      <c r="G36" s="296"/>
      <c r="H36" s="286"/>
      <c r="I36" s="260"/>
      <c r="J36" s="259"/>
    </row>
    <row r="37" spans="1:14" s="262" customFormat="1">
      <c r="A37" s="261"/>
      <c r="D37" s="297"/>
      <c r="E37" s="298"/>
      <c r="G37" s="297"/>
      <c r="H37" s="286"/>
      <c r="I37" s="260"/>
      <c r="J37" s="259"/>
    </row>
    <row r="41" spans="1:14" s="262" customFormat="1" ht="15">
      <c r="A41" s="261"/>
      <c r="B41" s="284"/>
      <c r="C41" s="284"/>
      <c r="D41" s="284"/>
      <c r="E41" s="284"/>
      <c r="F41" s="284"/>
      <c r="G41" s="285"/>
      <c r="H41" s="286"/>
      <c r="I41" s="287"/>
      <c r="J41" s="288"/>
    </row>
    <row r="42" spans="1:14" s="262" customFormat="1" ht="15">
      <c r="A42" s="261"/>
      <c r="B42" s="284"/>
      <c r="C42" s="284"/>
      <c r="D42" s="284"/>
      <c r="E42" s="284"/>
      <c r="F42" s="284"/>
      <c r="G42" s="285"/>
      <c r="H42" s="286"/>
      <c r="I42" s="287"/>
      <c r="J42" s="288"/>
    </row>
    <row r="43" spans="1:14" s="262" customFormat="1" ht="15">
      <c r="A43" s="261"/>
      <c r="B43" s="284"/>
      <c r="C43" s="284"/>
      <c r="D43" s="284"/>
      <c r="E43" s="284"/>
      <c r="F43" s="284"/>
      <c r="G43" s="285"/>
      <c r="H43" s="286"/>
      <c r="I43" s="287"/>
      <c r="J43" s="288"/>
    </row>
    <row r="44" spans="1:14" s="262" customFormat="1" ht="15">
      <c r="A44" s="261"/>
      <c r="B44" s="284"/>
      <c r="C44" s="284"/>
      <c r="D44" s="284"/>
      <c r="E44" s="284"/>
      <c r="F44" s="284"/>
      <c r="G44" s="285"/>
      <c r="H44" s="286"/>
      <c r="I44" s="287"/>
      <c r="J44" s="288"/>
    </row>
    <row r="45" spans="1:14" s="262" customFormat="1" ht="15">
      <c r="A45" s="261"/>
      <c r="B45" s="284"/>
      <c r="C45" s="284"/>
      <c r="D45" s="284"/>
      <c r="E45" s="284"/>
      <c r="F45" s="284"/>
      <c r="G45" s="285"/>
      <c r="H45" s="286"/>
      <c r="I45" s="287"/>
      <c r="J45" s="288"/>
    </row>
    <row r="46" spans="1:14" s="262" customFormat="1" ht="15">
      <c r="A46" s="261"/>
      <c r="B46" s="284"/>
      <c r="C46" s="284"/>
      <c r="D46" s="284"/>
      <c r="E46" s="284"/>
      <c r="F46" s="284"/>
      <c r="G46" s="285"/>
      <c r="H46" s="286"/>
      <c r="I46" s="287"/>
      <c r="J46" s="288"/>
    </row>
  </sheetData>
  <mergeCells count="8">
    <mergeCell ref="A6:A21"/>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sheetPr>
    <tabColor rgb="FFFFFF00"/>
  </sheetPr>
  <dimension ref="A1:AI47"/>
  <sheetViews>
    <sheetView topLeftCell="A7"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45">
      <c r="A1" s="263" t="s">
        <v>830</v>
      </c>
      <c r="B1" s="264"/>
      <c r="C1" s="264"/>
      <c r="D1" s="264"/>
      <c r="E1" s="264"/>
      <c r="F1" s="264"/>
      <c r="G1" s="264"/>
      <c r="H1" s="264"/>
      <c r="I1" s="264"/>
      <c r="J1" s="265"/>
    </row>
    <row r="2" spans="1:11" s="266" customFormat="1" ht="20.25">
      <c r="A2" s="264"/>
      <c r="B2" s="264"/>
      <c r="C2" s="264"/>
      <c r="D2" s="264"/>
      <c r="E2" s="264"/>
      <c r="F2" s="392"/>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466" t="s">
        <v>470</v>
      </c>
      <c r="F5" s="466" t="s">
        <v>471</v>
      </c>
      <c r="G5" s="466" t="s">
        <v>472</v>
      </c>
      <c r="H5" s="466" t="s">
        <v>471</v>
      </c>
      <c r="I5" s="754"/>
      <c r="J5" s="751"/>
    </row>
    <row r="6" spans="1:11" s="273" customFormat="1" ht="15">
      <c r="A6" s="748" t="s">
        <v>831</v>
      </c>
      <c r="B6" s="301">
        <v>13</v>
      </c>
      <c r="C6" s="257">
        <v>10</v>
      </c>
      <c r="D6" s="275">
        <v>1</v>
      </c>
      <c r="E6" s="275">
        <v>16</v>
      </c>
      <c r="F6" s="275">
        <f t="shared" ref="F6:F22" si="0">D6*E6</f>
        <v>16</v>
      </c>
      <c r="G6" s="276">
        <v>1.7</v>
      </c>
      <c r="H6" s="277">
        <f t="shared" ref="H6:H22" si="1">ROUND(F6*G6,3)</f>
        <v>27.2</v>
      </c>
      <c r="I6" s="278">
        <f t="shared" ref="I6:I22" si="2">ROUND(3.1416*(C6/1000)^2/4*7850*1,3)</f>
        <v>0.61699999999999999</v>
      </c>
      <c r="J6" s="279">
        <f t="shared" ref="J6:J22" si="3">ROUND(H6*I6,3)</f>
        <v>16.782</v>
      </c>
    </row>
    <row r="7" spans="1:11" s="273" customFormat="1" ht="15">
      <c r="A7" s="748"/>
      <c r="B7" s="301">
        <v>14</v>
      </c>
      <c r="C7" s="257">
        <v>10</v>
      </c>
      <c r="D7" s="275">
        <f t="shared" ref="D7:D22" si="4">+D6</f>
        <v>1</v>
      </c>
      <c r="E7" s="275">
        <v>63</v>
      </c>
      <c r="F7" s="275">
        <f t="shared" si="0"/>
        <v>63</v>
      </c>
      <c r="G7" s="276">
        <v>0.9</v>
      </c>
      <c r="H7" s="277">
        <f t="shared" si="1"/>
        <v>56.7</v>
      </c>
      <c r="I7" s="278">
        <f t="shared" si="2"/>
        <v>0.61699999999999999</v>
      </c>
      <c r="J7" s="279">
        <f t="shared" si="3"/>
        <v>34.984000000000002</v>
      </c>
    </row>
    <row r="8" spans="1:11" s="273" customFormat="1" ht="15">
      <c r="A8" s="748"/>
      <c r="B8" s="301">
        <v>15</v>
      </c>
      <c r="C8" s="257">
        <v>10</v>
      </c>
      <c r="D8" s="275">
        <f t="shared" si="4"/>
        <v>1</v>
      </c>
      <c r="E8" s="275">
        <v>23</v>
      </c>
      <c r="F8" s="275">
        <f t="shared" si="0"/>
        <v>23</v>
      </c>
      <c r="G8" s="276">
        <v>0.55000000000000004</v>
      </c>
      <c r="H8" s="277">
        <f t="shared" si="1"/>
        <v>12.65</v>
      </c>
      <c r="I8" s="278">
        <f t="shared" si="2"/>
        <v>0.61699999999999999</v>
      </c>
      <c r="J8" s="279">
        <f t="shared" si="3"/>
        <v>7.8049999999999997</v>
      </c>
    </row>
    <row r="9" spans="1:11" s="273" customFormat="1" ht="15" customHeight="1">
      <c r="A9" s="748"/>
      <c r="B9" s="301">
        <v>16</v>
      </c>
      <c r="C9" s="257">
        <v>10</v>
      </c>
      <c r="D9" s="275">
        <f t="shared" si="4"/>
        <v>1</v>
      </c>
      <c r="E9" s="275">
        <v>6</v>
      </c>
      <c r="F9" s="275">
        <f t="shared" si="0"/>
        <v>6</v>
      </c>
      <c r="G9" s="276">
        <v>16.155000000000001</v>
      </c>
      <c r="H9" s="277">
        <f t="shared" si="1"/>
        <v>96.93</v>
      </c>
      <c r="I9" s="278">
        <f t="shared" si="2"/>
        <v>0.61699999999999999</v>
      </c>
      <c r="J9" s="279">
        <f t="shared" si="3"/>
        <v>59.805999999999997</v>
      </c>
      <c r="K9" s="467" t="s">
        <v>827</v>
      </c>
    </row>
    <row r="10" spans="1:11" s="273" customFormat="1" ht="15">
      <c r="A10" s="748"/>
      <c r="B10" s="301">
        <v>17</v>
      </c>
      <c r="C10" s="257">
        <v>10</v>
      </c>
      <c r="D10" s="275">
        <f t="shared" si="4"/>
        <v>1</v>
      </c>
      <c r="E10" s="275">
        <v>8</v>
      </c>
      <c r="F10" s="275">
        <f t="shared" si="0"/>
        <v>8</v>
      </c>
      <c r="G10" s="276">
        <v>2.9</v>
      </c>
      <c r="H10" s="277">
        <f t="shared" si="1"/>
        <v>23.2</v>
      </c>
      <c r="I10" s="278">
        <f t="shared" si="2"/>
        <v>0.61699999999999999</v>
      </c>
      <c r="J10" s="279">
        <f t="shared" si="3"/>
        <v>14.314</v>
      </c>
      <c r="K10" s="468"/>
    </row>
    <row r="11" spans="1:11" s="273" customFormat="1" ht="15">
      <c r="A11" s="748"/>
      <c r="B11" s="301">
        <v>18</v>
      </c>
      <c r="C11" s="257">
        <v>10</v>
      </c>
      <c r="D11" s="275">
        <f t="shared" si="4"/>
        <v>1</v>
      </c>
      <c r="E11" s="275">
        <v>4</v>
      </c>
      <c r="F11" s="275">
        <f t="shared" si="0"/>
        <v>4</v>
      </c>
      <c r="G11" s="276">
        <v>5.01</v>
      </c>
      <c r="H11" s="277">
        <f t="shared" si="1"/>
        <v>20.04</v>
      </c>
      <c r="I11" s="278">
        <f t="shared" si="2"/>
        <v>0.61699999999999999</v>
      </c>
      <c r="J11" s="279">
        <f t="shared" si="3"/>
        <v>12.365</v>
      </c>
      <c r="K11" s="468"/>
    </row>
    <row r="12" spans="1:11" s="273" customFormat="1" ht="15">
      <c r="A12" s="748"/>
      <c r="B12" s="301">
        <v>19</v>
      </c>
      <c r="C12" s="257">
        <v>10</v>
      </c>
      <c r="D12" s="275">
        <f t="shared" si="4"/>
        <v>1</v>
      </c>
      <c r="E12" s="275">
        <v>6</v>
      </c>
      <c r="F12" s="275">
        <f t="shared" si="0"/>
        <v>6</v>
      </c>
      <c r="G12" s="276">
        <v>2.86</v>
      </c>
      <c r="H12" s="277">
        <f t="shared" si="1"/>
        <v>17.16</v>
      </c>
      <c r="I12" s="278">
        <f t="shared" si="2"/>
        <v>0.61699999999999999</v>
      </c>
      <c r="J12" s="279">
        <f t="shared" si="3"/>
        <v>10.587999999999999</v>
      </c>
      <c r="K12" s="468"/>
    </row>
    <row r="13" spans="1:11" s="273" customFormat="1" ht="15">
      <c r="A13" s="748"/>
      <c r="B13" s="301">
        <v>20</v>
      </c>
      <c r="C13" s="257">
        <v>10</v>
      </c>
      <c r="D13" s="275">
        <f t="shared" si="4"/>
        <v>1</v>
      </c>
      <c r="E13" s="275">
        <v>2</v>
      </c>
      <c r="F13" s="275">
        <f t="shared" si="0"/>
        <v>2</v>
      </c>
      <c r="G13" s="276">
        <v>5.84</v>
      </c>
      <c r="H13" s="277">
        <f t="shared" si="1"/>
        <v>11.68</v>
      </c>
      <c r="I13" s="278">
        <f t="shared" si="2"/>
        <v>0.61699999999999999</v>
      </c>
      <c r="J13" s="279">
        <f t="shared" si="3"/>
        <v>7.2069999999999999</v>
      </c>
      <c r="K13" s="468"/>
    </row>
    <row r="14" spans="1:11" s="273" customFormat="1" ht="15">
      <c r="A14" s="748"/>
      <c r="B14" s="301">
        <v>21</v>
      </c>
      <c r="C14" s="257">
        <v>16</v>
      </c>
      <c r="D14" s="275">
        <f t="shared" si="4"/>
        <v>1</v>
      </c>
      <c r="E14" s="275">
        <v>16</v>
      </c>
      <c r="F14" s="275">
        <f t="shared" si="0"/>
        <v>16</v>
      </c>
      <c r="G14" s="276">
        <v>1.7</v>
      </c>
      <c r="H14" s="277">
        <f t="shared" si="1"/>
        <v>27.2</v>
      </c>
      <c r="I14" s="278">
        <f t="shared" si="2"/>
        <v>1.5780000000000001</v>
      </c>
      <c r="J14" s="279">
        <f t="shared" si="3"/>
        <v>42.921999999999997</v>
      </c>
      <c r="K14" s="469"/>
    </row>
    <row r="15" spans="1:11" s="273" customFormat="1" ht="15">
      <c r="A15" s="748"/>
      <c r="B15" s="301">
        <v>22</v>
      </c>
      <c r="C15" s="257">
        <v>16</v>
      </c>
      <c r="D15" s="275">
        <f t="shared" si="4"/>
        <v>1</v>
      </c>
      <c r="E15" s="275">
        <v>63</v>
      </c>
      <c r="F15" s="275">
        <f t="shared" si="0"/>
        <v>63</v>
      </c>
      <c r="G15" s="276">
        <v>0.9</v>
      </c>
      <c r="H15" s="277">
        <f t="shared" si="1"/>
        <v>56.7</v>
      </c>
      <c r="I15" s="278">
        <f t="shared" si="2"/>
        <v>1.5780000000000001</v>
      </c>
      <c r="J15" s="279">
        <f t="shared" si="3"/>
        <v>89.472999999999999</v>
      </c>
    </row>
    <row r="16" spans="1:11" s="273" customFormat="1" ht="15">
      <c r="A16" s="748"/>
      <c r="B16" s="301">
        <v>23</v>
      </c>
      <c r="C16" s="257">
        <v>16</v>
      </c>
      <c r="D16" s="275">
        <f t="shared" si="4"/>
        <v>1</v>
      </c>
      <c r="E16" s="275">
        <v>23</v>
      </c>
      <c r="F16" s="275">
        <f t="shared" si="0"/>
        <v>23</v>
      </c>
      <c r="G16" s="276">
        <v>0.55000000000000004</v>
      </c>
      <c r="H16" s="277">
        <f t="shared" si="1"/>
        <v>12.65</v>
      </c>
      <c r="I16" s="278">
        <f t="shared" si="2"/>
        <v>1.5780000000000001</v>
      </c>
      <c r="J16" s="279">
        <f t="shared" si="3"/>
        <v>19.962</v>
      </c>
    </row>
    <row r="17" spans="1:34" s="273" customFormat="1" ht="15">
      <c r="A17" s="748"/>
      <c r="B17" s="301">
        <v>24</v>
      </c>
      <c r="C17" s="257">
        <v>10</v>
      </c>
      <c r="D17" s="275">
        <f t="shared" si="4"/>
        <v>1</v>
      </c>
      <c r="E17" s="275">
        <v>6</v>
      </c>
      <c r="F17" s="275">
        <f t="shared" si="0"/>
        <v>6</v>
      </c>
      <c r="G17" s="276">
        <v>16.155000000000001</v>
      </c>
      <c r="H17" s="277">
        <f t="shared" si="1"/>
        <v>96.93</v>
      </c>
      <c r="I17" s="278">
        <f t="shared" si="2"/>
        <v>0.61699999999999999</v>
      </c>
      <c r="J17" s="279">
        <f t="shared" si="3"/>
        <v>59.805999999999997</v>
      </c>
    </row>
    <row r="18" spans="1:34" s="273" customFormat="1" ht="15">
      <c r="A18" s="748"/>
      <c r="B18" s="301">
        <v>34</v>
      </c>
      <c r="C18" s="257">
        <v>16</v>
      </c>
      <c r="D18" s="275">
        <v>1</v>
      </c>
      <c r="E18" s="275">
        <v>105</v>
      </c>
      <c r="F18" s="275">
        <f t="shared" si="0"/>
        <v>105</v>
      </c>
      <c r="G18" s="276">
        <v>1.76</v>
      </c>
      <c r="H18" s="277">
        <f t="shared" si="1"/>
        <v>184.8</v>
      </c>
      <c r="I18" s="278">
        <f t="shared" si="2"/>
        <v>1.5780000000000001</v>
      </c>
      <c r="J18" s="279">
        <f t="shared" si="3"/>
        <v>291.61399999999998</v>
      </c>
    </row>
    <row r="19" spans="1:34" s="273" customFormat="1" ht="15">
      <c r="A19" s="748"/>
      <c r="B19" s="301">
        <v>35</v>
      </c>
      <c r="C19" s="257">
        <v>18</v>
      </c>
      <c r="D19" s="275">
        <f t="shared" si="4"/>
        <v>1</v>
      </c>
      <c r="E19" s="275">
        <v>4</v>
      </c>
      <c r="F19" s="275">
        <f t="shared" si="0"/>
        <v>4</v>
      </c>
      <c r="G19" s="276">
        <v>4.97</v>
      </c>
      <c r="H19" s="277">
        <f t="shared" si="1"/>
        <v>19.88</v>
      </c>
      <c r="I19" s="278">
        <f t="shared" si="2"/>
        <v>1.998</v>
      </c>
      <c r="J19" s="279">
        <f t="shared" si="3"/>
        <v>39.72</v>
      </c>
    </row>
    <row r="20" spans="1:34" s="273" customFormat="1" ht="15">
      <c r="A20" s="748"/>
      <c r="B20" s="301">
        <v>36</v>
      </c>
      <c r="C20" s="257">
        <v>18</v>
      </c>
      <c r="D20" s="275">
        <f t="shared" si="4"/>
        <v>1</v>
      </c>
      <c r="E20" s="275">
        <v>14</v>
      </c>
      <c r="F20" s="275">
        <f t="shared" si="0"/>
        <v>14</v>
      </c>
      <c r="G20" s="276">
        <v>2.855</v>
      </c>
      <c r="H20" s="277">
        <f t="shared" si="1"/>
        <v>39.97</v>
      </c>
      <c r="I20" s="278">
        <f t="shared" si="2"/>
        <v>1.998</v>
      </c>
      <c r="J20" s="279">
        <f t="shared" si="3"/>
        <v>79.86</v>
      </c>
    </row>
    <row r="21" spans="1:34" s="273" customFormat="1" ht="15">
      <c r="A21" s="748"/>
      <c r="B21" s="301">
        <v>37</v>
      </c>
      <c r="C21" s="257">
        <v>12</v>
      </c>
      <c r="D21" s="275">
        <f t="shared" si="4"/>
        <v>1</v>
      </c>
      <c r="E21" s="275">
        <v>44</v>
      </c>
      <c r="F21" s="275">
        <f t="shared" si="0"/>
        <v>44</v>
      </c>
      <c r="G21" s="276">
        <v>1.08</v>
      </c>
      <c r="H21" s="277">
        <f t="shared" si="1"/>
        <v>47.52</v>
      </c>
      <c r="I21" s="278">
        <f t="shared" si="2"/>
        <v>0.88800000000000001</v>
      </c>
      <c r="J21" s="279">
        <f t="shared" si="3"/>
        <v>42.198</v>
      </c>
    </row>
    <row r="22" spans="1:34" s="273" customFormat="1" ht="15">
      <c r="A22" s="748"/>
      <c r="B22" s="301">
        <v>38</v>
      </c>
      <c r="C22" s="257">
        <v>18</v>
      </c>
      <c r="D22" s="275">
        <f t="shared" si="4"/>
        <v>1</v>
      </c>
      <c r="E22" s="275">
        <v>2</v>
      </c>
      <c r="F22" s="275">
        <f t="shared" si="0"/>
        <v>2</v>
      </c>
      <c r="G22" s="276">
        <v>5.38</v>
      </c>
      <c r="H22" s="277">
        <f t="shared" si="1"/>
        <v>10.76</v>
      </c>
      <c r="I22" s="278">
        <f t="shared" si="2"/>
        <v>1.998</v>
      </c>
      <c r="J22" s="279">
        <f t="shared" si="3"/>
        <v>21.498000000000001</v>
      </c>
    </row>
    <row r="23" spans="1:34" s="262" customFormat="1" ht="15">
      <c r="A23" s="261"/>
      <c r="B23" s="284"/>
      <c r="C23" s="284"/>
      <c r="D23" s="284"/>
      <c r="E23" s="284"/>
      <c r="F23" s="284"/>
      <c r="G23" s="285"/>
      <c r="H23" s="286"/>
      <c r="I23" s="287"/>
      <c r="J23" s="288"/>
    </row>
    <row r="24" spans="1:34" s="291" customFormat="1" ht="15">
      <c r="A24" s="261"/>
      <c r="B24" s="289" t="s">
        <v>473</v>
      </c>
      <c r="C24" s="284"/>
      <c r="D24" s="284"/>
      <c r="E24" s="284"/>
      <c r="F24" s="290"/>
      <c r="G24" s="285"/>
      <c r="H24" s="286"/>
      <c r="I24" s="287"/>
      <c r="K24" s="286"/>
    </row>
    <row r="25" spans="1:34" s="291" customFormat="1" ht="15">
      <c r="A25" s="261"/>
      <c r="B25" s="292" t="s">
        <v>752</v>
      </c>
      <c r="C25" s="284"/>
      <c r="D25" s="284"/>
      <c r="F25" s="293">
        <f>SUMIF($C$6:$C$22,10,$J$6:$J$22)</f>
        <v>223.65699999999998</v>
      </c>
      <c r="G25" s="294" t="s">
        <v>273</v>
      </c>
      <c r="I25" s="287"/>
      <c r="K25" s="295"/>
    </row>
    <row r="26" spans="1:34" s="291" customFormat="1" ht="15">
      <c r="A26" s="261"/>
      <c r="B26" s="292" t="s">
        <v>754</v>
      </c>
      <c r="C26" s="284"/>
      <c r="D26" s="284"/>
      <c r="F26" s="293">
        <f>SUMIF($C$6:$C$22,12,$J$6:$J$22)</f>
        <v>42.198</v>
      </c>
      <c r="G26" s="294" t="s">
        <v>273</v>
      </c>
      <c r="I26" s="287"/>
      <c r="K26" s="295"/>
    </row>
    <row r="27" spans="1:34" s="291" customFormat="1" ht="15">
      <c r="A27" s="261"/>
      <c r="B27" s="292" t="s">
        <v>741</v>
      </c>
      <c r="C27" s="284"/>
      <c r="D27" s="284"/>
      <c r="F27" s="293">
        <f>SUMIF($C$6:$C$22,16,$J$6:$J$22)</f>
        <v>443.97099999999995</v>
      </c>
      <c r="G27" s="294" t="s">
        <v>273</v>
      </c>
      <c r="I27" s="287"/>
      <c r="K27" s="295"/>
    </row>
    <row r="28" spans="1:34" s="291" customFormat="1" ht="15">
      <c r="A28" s="261"/>
      <c r="B28" s="292" t="s">
        <v>742</v>
      </c>
      <c r="C28" s="284"/>
      <c r="D28" s="284"/>
      <c r="F28" s="293">
        <f>SUMIF($C$6:$C$22,18,$J$6:$J$22)</f>
        <v>141.078</v>
      </c>
      <c r="G28" s="294" t="s">
        <v>273</v>
      </c>
      <c r="I28" s="287"/>
      <c r="K28" s="295"/>
    </row>
    <row r="29" spans="1:34" s="291" customFormat="1" ht="15">
      <c r="A29" s="261"/>
      <c r="B29" s="292"/>
      <c r="C29" s="284"/>
      <c r="D29" s="284"/>
      <c r="F29" s="293"/>
      <c r="G29" s="294"/>
      <c r="I29" s="287"/>
      <c r="K29" s="295"/>
    </row>
    <row r="30" spans="1:34" s="437" customFormat="1">
      <c r="D30" s="438" t="s">
        <v>788</v>
      </c>
      <c r="G30" s="439"/>
      <c r="I30" s="438" t="s">
        <v>789</v>
      </c>
      <c r="P30" s="438"/>
      <c r="Q30" s="438"/>
      <c r="R30" s="438"/>
      <c r="S30" s="438"/>
      <c r="T30" s="438"/>
      <c r="U30" s="438"/>
      <c r="V30" s="438"/>
      <c r="W30" s="438"/>
      <c r="X30" s="438"/>
      <c r="Y30" s="438"/>
      <c r="Z30" s="438"/>
      <c r="AA30" s="438"/>
    </row>
    <row r="31" spans="1:34" s="417" customFormat="1" ht="15">
      <c r="F31" s="436"/>
      <c r="G31" s="440"/>
      <c r="H31" s="436"/>
      <c r="J31" s="441"/>
      <c r="L31" s="441"/>
      <c r="M31" s="436"/>
      <c r="N31" s="436"/>
      <c r="AH31" s="441"/>
    </row>
    <row r="32" spans="1:34" s="417" customFormat="1" ht="15">
      <c r="F32" s="436"/>
      <c r="G32" s="436"/>
      <c r="H32" s="436"/>
      <c r="J32" s="441"/>
      <c r="L32" s="441"/>
      <c r="M32" s="436"/>
      <c r="N32" s="436"/>
    </row>
    <row r="33" spans="1:35" s="417" customFormat="1" ht="15">
      <c r="F33" s="436"/>
      <c r="G33" s="436"/>
      <c r="H33" s="436"/>
      <c r="M33" s="436"/>
      <c r="N33" s="436"/>
      <c r="AG33" s="433"/>
      <c r="AH33" s="433"/>
      <c r="AI33" s="433"/>
    </row>
    <row r="34" spans="1:35" s="417" customFormat="1" ht="15">
      <c r="F34" s="436"/>
      <c r="G34" s="436"/>
      <c r="H34" s="436"/>
      <c r="M34" s="436"/>
      <c r="N34" s="436"/>
    </row>
    <row r="35" spans="1:35" s="417" customFormat="1">
      <c r="D35" s="442" t="s">
        <v>792</v>
      </c>
      <c r="E35" s="436"/>
      <c r="F35" s="436"/>
      <c r="G35" s="436"/>
      <c r="H35" s="436"/>
      <c r="I35" s="443" t="s">
        <v>820</v>
      </c>
      <c r="M35" s="436"/>
      <c r="N35" s="436"/>
    </row>
    <row r="36" spans="1:35" s="262" customFormat="1">
      <c r="A36" s="261"/>
      <c r="B36" s="297"/>
      <c r="C36" s="296"/>
      <c r="D36" s="296"/>
      <c r="E36" s="296"/>
      <c r="F36" s="296"/>
      <c r="G36" s="296"/>
      <c r="H36" s="286"/>
      <c r="I36" s="260"/>
      <c r="J36" s="260"/>
    </row>
    <row r="37" spans="1:35" s="262" customFormat="1">
      <c r="A37" s="261"/>
      <c r="B37" s="297"/>
      <c r="C37" s="296"/>
      <c r="D37" s="296"/>
      <c r="E37" s="296"/>
      <c r="F37" s="296"/>
      <c r="G37" s="296"/>
      <c r="H37" s="286"/>
      <c r="I37" s="260"/>
      <c r="J37" s="259"/>
    </row>
    <row r="38" spans="1:35" s="262" customFormat="1">
      <c r="A38" s="261"/>
      <c r="D38" s="297"/>
      <c r="E38" s="298"/>
      <c r="G38" s="297"/>
      <c r="H38" s="286"/>
      <c r="I38" s="260"/>
      <c r="J38" s="259"/>
    </row>
    <row r="42" spans="1:35" s="262" customFormat="1" ht="15">
      <c r="A42" s="261"/>
      <c r="B42" s="284"/>
      <c r="C42" s="284"/>
      <c r="D42" s="284"/>
      <c r="E42" s="284"/>
      <c r="F42" s="284"/>
      <c r="G42" s="285"/>
      <c r="H42" s="286"/>
      <c r="I42" s="287"/>
      <c r="J42" s="288"/>
    </row>
    <row r="43" spans="1:35" s="262" customFormat="1" ht="15">
      <c r="A43" s="261"/>
      <c r="B43" s="284"/>
      <c r="C43" s="284"/>
      <c r="D43" s="284"/>
      <c r="E43" s="284"/>
      <c r="F43" s="284"/>
      <c r="G43" s="285"/>
      <c r="H43" s="286"/>
      <c r="I43" s="287"/>
      <c r="J43" s="288"/>
    </row>
    <row r="44" spans="1:35" s="262" customFormat="1" ht="15">
      <c r="A44" s="261"/>
      <c r="B44" s="284"/>
      <c r="C44" s="284"/>
      <c r="D44" s="284"/>
      <c r="E44" s="284"/>
      <c r="F44" s="284"/>
      <c r="G44" s="285"/>
      <c r="H44" s="286"/>
      <c r="I44" s="287"/>
      <c r="J44" s="288"/>
    </row>
    <row r="45" spans="1:35" s="262" customFormat="1" ht="15">
      <c r="A45" s="261"/>
      <c r="B45" s="284"/>
      <c r="C45" s="284"/>
      <c r="D45" s="284"/>
      <c r="E45" s="284"/>
      <c r="F45" s="284"/>
      <c r="G45" s="285"/>
      <c r="H45" s="286"/>
      <c r="I45" s="287"/>
      <c r="J45" s="288"/>
    </row>
    <row r="46" spans="1:35" s="262" customFormat="1" ht="15">
      <c r="A46" s="261"/>
      <c r="B46" s="284"/>
      <c r="C46" s="284"/>
      <c r="D46" s="284"/>
      <c r="E46" s="284"/>
      <c r="F46" s="284"/>
      <c r="G46" s="285"/>
      <c r="H46" s="286"/>
      <c r="I46" s="287"/>
      <c r="J46" s="288"/>
    </row>
    <row r="47" spans="1:35" s="262" customFormat="1" ht="15">
      <c r="A47" s="261"/>
      <c r="B47" s="284"/>
      <c r="C47" s="284"/>
      <c r="D47" s="284"/>
      <c r="E47" s="284"/>
      <c r="F47" s="284"/>
      <c r="G47" s="285"/>
      <c r="H47" s="286"/>
      <c r="I47" s="287"/>
      <c r="J47" s="288"/>
    </row>
  </sheetData>
  <mergeCells count="8">
    <mergeCell ref="A6:A22"/>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sheetPr>
    <tabColor rgb="FFFFFF00"/>
  </sheetPr>
  <dimension ref="A1:AI75"/>
  <sheetViews>
    <sheetView topLeftCell="A38"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45">
      <c r="A1" s="263" t="s">
        <v>826</v>
      </c>
      <c r="B1" s="264"/>
      <c r="C1" s="264"/>
      <c r="D1" s="264"/>
      <c r="E1" s="264"/>
      <c r="F1" s="264"/>
      <c r="G1" s="264"/>
      <c r="H1" s="264"/>
      <c r="I1" s="264"/>
      <c r="J1" s="265"/>
    </row>
    <row r="2" spans="1:11" s="266" customFormat="1" ht="20.25">
      <c r="A2" s="264"/>
      <c r="B2" s="264"/>
      <c r="C2" s="264"/>
      <c r="D2" s="264"/>
      <c r="E2" s="264"/>
      <c r="F2" s="392"/>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466" t="s">
        <v>470</v>
      </c>
      <c r="F5" s="466" t="s">
        <v>471</v>
      </c>
      <c r="G5" s="466" t="s">
        <v>472</v>
      </c>
      <c r="H5" s="466" t="s">
        <v>471</v>
      </c>
      <c r="I5" s="754"/>
      <c r="J5" s="751"/>
    </row>
    <row r="6" spans="1:11" s="273" customFormat="1" ht="15">
      <c r="A6" s="748" t="s">
        <v>753</v>
      </c>
      <c r="B6" s="301">
        <v>1</v>
      </c>
      <c r="C6" s="257">
        <v>18</v>
      </c>
      <c r="D6" s="275">
        <v>2</v>
      </c>
      <c r="E6" s="275">
        <v>4</v>
      </c>
      <c r="F6" s="275">
        <f t="shared" ref="F6:F50" si="0">D6*E6</f>
        <v>8</v>
      </c>
      <c r="G6" s="276">
        <v>7.77</v>
      </c>
      <c r="H6" s="277">
        <f t="shared" ref="H6:H50" si="1">ROUND(F6*G6,3)</f>
        <v>62.16</v>
      </c>
      <c r="I6" s="278">
        <f t="shared" ref="I6:I50" si="2">ROUND(3.1416*(C6/1000)^2/4*7850*1,3)</f>
        <v>1.998</v>
      </c>
      <c r="J6" s="279">
        <f t="shared" ref="J6:J50" si="3">ROUND(H6*I6,3)</f>
        <v>124.196</v>
      </c>
    </row>
    <row r="7" spans="1:11" s="273" customFormat="1" ht="15">
      <c r="A7" s="748"/>
      <c r="B7" s="301">
        <v>2</v>
      </c>
      <c r="C7" s="257">
        <v>18</v>
      </c>
      <c r="D7" s="275">
        <v>2</v>
      </c>
      <c r="E7" s="275">
        <v>16</v>
      </c>
      <c r="F7" s="275">
        <f t="shared" si="0"/>
        <v>32</v>
      </c>
      <c r="G7" s="276">
        <v>4.2450000000000001</v>
      </c>
      <c r="H7" s="277">
        <f t="shared" si="1"/>
        <v>135.84</v>
      </c>
      <c r="I7" s="278">
        <f t="shared" si="2"/>
        <v>1.998</v>
      </c>
      <c r="J7" s="279">
        <f t="shared" si="3"/>
        <v>271.40800000000002</v>
      </c>
      <c r="K7" s="280"/>
    </row>
    <row r="8" spans="1:11" s="281" customFormat="1" ht="15">
      <c r="A8" s="748"/>
      <c r="B8" s="301">
        <v>3</v>
      </c>
      <c r="C8" s="257">
        <v>18</v>
      </c>
      <c r="D8" s="275">
        <f t="shared" ref="D8:D49" si="4">+D7</f>
        <v>2</v>
      </c>
      <c r="E8" s="275">
        <v>2</v>
      </c>
      <c r="F8" s="275">
        <f t="shared" si="0"/>
        <v>4</v>
      </c>
      <c r="G8" s="276">
        <v>9.15</v>
      </c>
      <c r="H8" s="277">
        <f t="shared" si="1"/>
        <v>36.6</v>
      </c>
      <c r="I8" s="278">
        <f t="shared" si="2"/>
        <v>1.998</v>
      </c>
      <c r="J8" s="279">
        <f t="shared" si="3"/>
        <v>73.126999999999995</v>
      </c>
    </row>
    <row r="9" spans="1:11" s="273" customFormat="1" ht="15">
      <c r="A9" s="748"/>
      <c r="B9" s="301">
        <v>4</v>
      </c>
      <c r="C9" s="257">
        <v>12</v>
      </c>
      <c r="D9" s="275">
        <f t="shared" si="4"/>
        <v>2</v>
      </c>
      <c r="E9" s="275">
        <v>62</v>
      </c>
      <c r="F9" s="275">
        <f t="shared" si="0"/>
        <v>124</v>
      </c>
      <c r="G9" s="276">
        <v>0.90500000000000003</v>
      </c>
      <c r="H9" s="277">
        <f t="shared" si="1"/>
        <v>112.22</v>
      </c>
      <c r="I9" s="278">
        <f t="shared" si="2"/>
        <v>0.88800000000000001</v>
      </c>
      <c r="J9" s="279">
        <f t="shared" si="3"/>
        <v>99.650999999999996</v>
      </c>
    </row>
    <row r="10" spans="1:11" s="273" customFormat="1" ht="15">
      <c r="A10" s="748"/>
      <c r="B10" s="301">
        <v>5</v>
      </c>
      <c r="C10" s="257">
        <v>12</v>
      </c>
      <c r="D10" s="275">
        <f t="shared" si="4"/>
        <v>2</v>
      </c>
      <c r="E10" s="275">
        <v>6</v>
      </c>
      <c r="F10" s="275">
        <f t="shared" si="0"/>
        <v>12</v>
      </c>
      <c r="G10" s="276">
        <v>0.85</v>
      </c>
      <c r="H10" s="277">
        <f t="shared" si="1"/>
        <v>10.199999999999999</v>
      </c>
      <c r="I10" s="278">
        <f t="shared" si="2"/>
        <v>0.88800000000000001</v>
      </c>
      <c r="J10" s="279">
        <f t="shared" si="3"/>
        <v>9.0579999999999998</v>
      </c>
    </row>
    <row r="11" spans="1:11" s="273" customFormat="1" ht="15">
      <c r="A11" s="748"/>
      <c r="B11" s="301">
        <v>6</v>
      </c>
      <c r="C11" s="257">
        <v>12</v>
      </c>
      <c r="D11" s="275">
        <f t="shared" si="4"/>
        <v>2</v>
      </c>
      <c r="E11" s="275">
        <v>2</v>
      </c>
      <c r="F11" s="275">
        <f t="shared" si="0"/>
        <v>4</v>
      </c>
      <c r="G11" s="276">
        <v>2.17</v>
      </c>
      <c r="H11" s="277">
        <f t="shared" si="1"/>
        <v>8.68</v>
      </c>
      <c r="I11" s="278">
        <f t="shared" si="2"/>
        <v>0.88800000000000001</v>
      </c>
      <c r="J11" s="279">
        <f t="shared" si="3"/>
        <v>7.7080000000000002</v>
      </c>
      <c r="K11" s="282"/>
    </row>
    <row r="12" spans="1:11" s="273" customFormat="1" ht="15">
      <c r="A12" s="748"/>
      <c r="B12" s="301">
        <v>7</v>
      </c>
      <c r="C12" s="257">
        <v>18</v>
      </c>
      <c r="D12" s="275">
        <f t="shared" si="4"/>
        <v>2</v>
      </c>
      <c r="E12" s="275">
        <v>4</v>
      </c>
      <c r="F12" s="275">
        <f t="shared" si="0"/>
        <v>8</v>
      </c>
      <c r="G12" s="276">
        <v>6.9</v>
      </c>
      <c r="H12" s="277">
        <f t="shared" si="1"/>
        <v>55.2</v>
      </c>
      <c r="I12" s="278">
        <f t="shared" si="2"/>
        <v>1.998</v>
      </c>
      <c r="J12" s="279">
        <f t="shared" si="3"/>
        <v>110.29</v>
      </c>
    </row>
    <row r="13" spans="1:11" s="273" customFormat="1" ht="15">
      <c r="A13" s="748"/>
      <c r="B13" s="301">
        <v>8</v>
      </c>
      <c r="C13" s="257">
        <v>18</v>
      </c>
      <c r="D13" s="275">
        <f t="shared" si="4"/>
        <v>2</v>
      </c>
      <c r="E13" s="275">
        <v>15</v>
      </c>
      <c r="F13" s="275">
        <f t="shared" si="0"/>
        <v>30</v>
      </c>
      <c r="G13" s="276">
        <v>4.2350000000000003</v>
      </c>
      <c r="H13" s="277">
        <f t="shared" si="1"/>
        <v>127.05</v>
      </c>
      <c r="I13" s="278">
        <f t="shared" si="2"/>
        <v>1.998</v>
      </c>
      <c r="J13" s="279">
        <f t="shared" si="3"/>
        <v>253.846</v>
      </c>
    </row>
    <row r="14" spans="1:11" s="273" customFormat="1" ht="15">
      <c r="A14" s="748"/>
      <c r="B14" s="301">
        <v>9</v>
      </c>
      <c r="C14" s="257">
        <v>12</v>
      </c>
      <c r="D14" s="275">
        <f t="shared" si="4"/>
        <v>2</v>
      </c>
      <c r="E14" s="275">
        <v>60</v>
      </c>
      <c r="F14" s="275">
        <f t="shared" si="0"/>
        <v>120</v>
      </c>
      <c r="G14" s="276">
        <v>2.23</v>
      </c>
      <c r="H14" s="277">
        <f t="shared" si="1"/>
        <v>267.60000000000002</v>
      </c>
      <c r="I14" s="278">
        <f t="shared" si="2"/>
        <v>0.88800000000000001</v>
      </c>
      <c r="J14" s="279">
        <f t="shared" si="3"/>
        <v>237.62899999999999</v>
      </c>
    </row>
    <row r="15" spans="1:11" s="273" customFormat="1" ht="15">
      <c r="A15" s="748"/>
      <c r="B15" s="301">
        <v>10</v>
      </c>
      <c r="C15" s="257">
        <v>12</v>
      </c>
      <c r="D15" s="275">
        <f t="shared" si="4"/>
        <v>2</v>
      </c>
      <c r="E15" s="275">
        <v>8</v>
      </c>
      <c r="F15" s="275">
        <f t="shared" si="0"/>
        <v>16</v>
      </c>
      <c r="G15" s="276">
        <v>4</v>
      </c>
      <c r="H15" s="277">
        <f t="shared" si="1"/>
        <v>64</v>
      </c>
      <c r="I15" s="278">
        <f t="shared" si="2"/>
        <v>0.88800000000000001</v>
      </c>
      <c r="J15" s="279">
        <f t="shared" si="3"/>
        <v>56.832000000000001</v>
      </c>
    </row>
    <row r="16" spans="1:11" s="273" customFormat="1" ht="15">
      <c r="A16" s="748"/>
      <c r="B16" s="301">
        <v>11</v>
      </c>
      <c r="C16" s="257">
        <v>12</v>
      </c>
      <c r="D16" s="275">
        <f t="shared" si="4"/>
        <v>2</v>
      </c>
      <c r="E16" s="275">
        <v>4</v>
      </c>
      <c r="F16" s="275">
        <f t="shared" si="0"/>
        <v>8</v>
      </c>
      <c r="G16" s="276">
        <v>6.9</v>
      </c>
      <c r="H16" s="277">
        <f t="shared" si="1"/>
        <v>55.2</v>
      </c>
      <c r="I16" s="278">
        <f t="shared" si="2"/>
        <v>0.88800000000000001</v>
      </c>
      <c r="J16" s="279">
        <f t="shared" si="3"/>
        <v>49.018000000000001</v>
      </c>
    </row>
    <row r="17" spans="1:10" s="273" customFormat="1" ht="15">
      <c r="A17" s="748"/>
      <c r="B17" s="301">
        <v>12</v>
      </c>
      <c r="C17" s="257">
        <v>12</v>
      </c>
      <c r="D17" s="275">
        <f t="shared" si="4"/>
        <v>2</v>
      </c>
      <c r="E17" s="275">
        <v>15</v>
      </c>
      <c r="F17" s="275">
        <f t="shared" si="0"/>
        <v>30</v>
      </c>
      <c r="G17" s="276">
        <v>4.2350000000000003</v>
      </c>
      <c r="H17" s="277">
        <f t="shared" si="1"/>
        <v>127.05</v>
      </c>
      <c r="I17" s="278">
        <f t="shared" si="2"/>
        <v>0.88800000000000001</v>
      </c>
      <c r="J17" s="279">
        <f t="shared" si="3"/>
        <v>112.82</v>
      </c>
    </row>
    <row r="18" spans="1:10" s="273" customFormat="1" ht="15">
      <c r="A18" s="748"/>
      <c r="B18" s="301">
        <v>13</v>
      </c>
      <c r="C18" s="257">
        <v>10</v>
      </c>
      <c r="D18" s="275">
        <v>1</v>
      </c>
      <c r="E18" s="275">
        <v>16</v>
      </c>
      <c r="F18" s="275">
        <f t="shared" si="0"/>
        <v>16</v>
      </c>
      <c r="G18" s="276">
        <v>1.7</v>
      </c>
      <c r="H18" s="277">
        <f t="shared" si="1"/>
        <v>27.2</v>
      </c>
      <c r="I18" s="278">
        <f t="shared" si="2"/>
        <v>0.61699999999999999</v>
      </c>
      <c r="J18" s="279">
        <f t="shared" si="3"/>
        <v>16.782</v>
      </c>
    </row>
    <row r="19" spans="1:10" s="273" customFormat="1" ht="15">
      <c r="A19" s="748"/>
      <c r="B19" s="301">
        <v>14</v>
      </c>
      <c r="C19" s="257">
        <v>10</v>
      </c>
      <c r="D19" s="275">
        <f t="shared" si="4"/>
        <v>1</v>
      </c>
      <c r="E19" s="275">
        <v>63</v>
      </c>
      <c r="F19" s="275">
        <f t="shared" si="0"/>
        <v>63</v>
      </c>
      <c r="G19" s="276">
        <v>0.9</v>
      </c>
      <c r="H19" s="277">
        <f t="shared" si="1"/>
        <v>56.7</v>
      </c>
      <c r="I19" s="278">
        <f t="shared" si="2"/>
        <v>0.61699999999999999</v>
      </c>
      <c r="J19" s="279">
        <f t="shared" si="3"/>
        <v>34.984000000000002</v>
      </c>
    </row>
    <row r="20" spans="1:10" s="273" customFormat="1" ht="15">
      <c r="A20" s="748"/>
      <c r="B20" s="301">
        <v>15</v>
      </c>
      <c r="C20" s="257">
        <v>10</v>
      </c>
      <c r="D20" s="275">
        <f t="shared" si="4"/>
        <v>1</v>
      </c>
      <c r="E20" s="275">
        <v>23</v>
      </c>
      <c r="F20" s="275">
        <f t="shared" si="0"/>
        <v>23</v>
      </c>
      <c r="G20" s="276">
        <v>0.55000000000000004</v>
      </c>
      <c r="H20" s="277">
        <f t="shared" si="1"/>
        <v>12.65</v>
      </c>
      <c r="I20" s="278">
        <f t="shared" si="2"/>
        <v>0.61699999999999999</v>
      </c>
      <c r="J20" s="279">
        <f t="shared" si="3"/>
        <v>7.8049999999999997</v>
      </c>
    </row>
    <row r="21" spans="1:10" s="273" customFormat="1" ht="15">
      <c r="A21" s="748"/>
      <c r="B21" s="301">
        <v>16</v>
      </c>
      <c r="C21" s="257">
        <v>10</v>
      </c>
      <c r="D21" s="275">
        <f t="shared" si="4"/>
        <v>1</v>
      </c>
      <c r="E21" s="275">
        <v>6</v>
      </c>
      <c r="F21" s="275">
        <f t="shared" si="0"/>
        <v>6</v>
      </c>
      <c r="G21" s="276">
        <v>16.155000000000001</v>
      </c>
      <c r="H21" s="277">
        <f t="shared" si="1"/>
        <v>96.93</v>
      </c>
      <c r="I21" s="278">
        <f t="shared" si="2"/>
        <v>0.61699999999999999</v>
      </c>
      <c r="J21" s="279">
        <f t="shared" si="3"/>
        <v>59.805999999999997</v>
      </c>
    </row>
    <row r="22" spans="1:10" s="273" customFormat="1" ht="15">
      <c r="A22" s="748"/>
      <c r="B22" s="301">
        <v>17</v>
      </c>
      <c r="C22" s="257">
        <v>10</v>
      </c>
      <c r="D22" s="275">
        <f t="shared" si="4"/>
        <v>1</v>
      </c>
      <c r="E22" s="275">
        <v>8</v>
      </c>
      <c r="F22" s="275">
        <f t="shared" si="0"/>
        <v>8</v>
      </c>
      <c r="G22" s="276">
        <v>2.9</v>
      </c>
      <c r="H22" s="277">
        <f t="shared" si="1"/>
        <v>23.2</v>
      </c>
      <c r="I22" s="278">
        <f t="shared" si="2"/>
        <v>0.61699999999999999</v>
      </c>
      <c r="J22" s="279">
        <f t="shared" si="3"/>
        <v>14.314</v>
      </c>
    </row>
    <row r="23" spans="1:10" s="273" customFormat="1" ht="15">
      <c r="A23" s="748"/>
      <c r="B23" s="301">
        <v>18</v>
      </c>
      <c r="C23" s="257">
        <v>10</v>
      </c>
      <c r="D23" s="275">
        <f t="shared" si="4"/>
        <v>1</v>
      </c>
      <c r="E23" s="275">
        <v>4</v>
      </c>
      <c r="F23" s="275">
        <f t="shared" si="0"/>
        <v>4</v>
      </c>
      <c r="G23" s="276">
        <v>5.01</v>
      </c>
      <c r="H23" s="277">
        <f t="shared" si="1"/>
        <v>20.04</v>
      </c>
      <c r="I23" s="278">
        <f t="shared" si="2"/>
        <v>0.61699999999999999</v>
      </c>
      <c r="J23" s="279">
        <f t="shared" si="3"/>
        <v>12.365</v>
      </c>
    </row>
    <row r="24" spans="1:10" s="273" customFormat="1" ht="15">
      <c r="A24" s="748"/>
      <c r="B24" s="301">
        <v>19</v>
      </c>
      <c r="C24" s="257">
        <v>10</v>
      </c>
      <c r="D24" s="275">
        <f t="shared" si="4"/>
        <v>1</v>
      </c>
      <c r="E24" s="275">
        <v>6</v>
      </c>
      <c r="F24" s="275">
        <f t="shared" si="0"/>
        <v>6</v>
      </c>
      <c r="G24" s="276">
        <v>2.86</v>
      </c>
      <c r="H24" s="277">
        <f t="shared" si="1"/>
        <v>17.16</v>
      </c>
      <c r="I24" s="278">
        <f t="shared" si="2"/>
        <v>0.61699999999999999</v>
      </c>
      <c r="J24" s="279">
        <f t="shared" si="3"/>
        <v>10.587999999999999</v>
      </c>
    </row>
    <row r="25" spans="1:10" s="273" customFormat="1" ht="15">
      <c r="A25" s="748"/>
      <c r="B25" s="301">
        <v>20</v>
      </c>
      <c r="C25" s="257">
        <v>10</v>
      </c>
      <c r="D25" s="275">
        <f t="shared" si="4"/>
        <v>1</v>
      </c>
      <c r="E25" s="275">
        <v>2</v>
      </c>
      <c r="F25" s="275">
        <f t="shared" si="0"/>
        <v>2</v>
      </c>
      <c r="G25" s="276">
        <v>5.84</v>
      </c>
      <c r="H25" s="277">
        <f t="shared" si="1"/>
        <v>11.68</v>
      </c>
      <c r="I25" s="278">
        <f t="shared" si="2"/>
        <v>0.61699999999999999</v>
      </c>
      <c r="J25" s="279">
        <f t="shared" si="3"/>
        <v>7.2069999999999999</v>
      </c>
    </row>
    <row r="26" spans="1:10" s="273" customFormat="1" ht="15">
      <c r="A26" s="748"/>
      <c r="B26" s="301">
        <v>21</v>
      </c>
      <c r="C26" s="257">
        <v>16</v>
      </c>
      <c r="D26" s="275">
        <f t="shared" si="4"/>
        <v>1</v>
      </c>
      <c r="E26" s="275">
        <v>16</v>
      </c>
      <c r="F26" s="275">
        <f t="shared" si="0"/>
        <v>16</v>
      </c>
      <c r="G26" s="276">
        <v>1.7</v>
      </c>
      <c r="H26" s="277">
        <f t="shared" si="1"/>
        <v>27.2</v>
      </c>
      <c r="I26" s="278">
        <f t="shared" si="2"/>
        <v>1.5780000000000001</v>
      </c>
      <c r="J26" s="279">
        <f t="shared" si="3"/>
        <v>42.921999999999997</v>
      </c>
    </row>
    <row r="27" spans="1:10" s="273" customFormat="1" ht="15">
      <c r="A27" s="748"/>
      <c r="B27" s="301">
        <v>22</v>
      </c>
      <c r="C27" s="257">
        <v>16</v>
      </c>
      <c r="D27" s="275">
        <f t="shared" si="4"/>
        <v>1</v>
      </c>
      <c r="E27" s="275">
        <v>63</v>
      </c>
      <c r="F27" s="275">
        <f t="shared" si="0"/>
        <v>63</v>
      </c>
      <c r="G27" s="276">
        <v>0.9</v>
      </c>
      <c r="H27" s="277">
        <f t="shared" si="1"/>
        <v>56.7</v>
      </c>
      <c r="I27" s="278">
        <f t="shared" si="2"/>
        <v>1.5780000000000001</v>
      </c>
      <c r="J27" s="279">
        <f t="shared" si="3"/>
        <v>89.472999999999999</v>
      </c>
    </row>
    <row r="28" spans="1:10" s="273" customFormat="1" ht="15">
      <c r="A28" s="748"/>
      <c r="B28" s="301">
        <v>23</v>
      </c>
      <c r="C28" s="257">
        <v>16</v>
      </c>
      <c r="D28" s="275">
        <f t="shared" si="4"/>
        <v>1</v>
      </c>
      <c r="E28" s="275">
        <v>23</v>
      </c>
      <c r="F28" s="275">
        <f t="shared" si="0"/>
        <v>23</v>
      </c>
      <c r="G28" s="276">
        <v>0.55000000000000004</v>
      </c>
      <c r="H28" s="277">
        <f t="shared" si="1"/>
        <v>12.65</v>
      </c>
      <c r="I28" s="278">
        <f t="shared" si="2"/>
        <v>1.5780000000000001</v>
      </c>
      <c r="J28" s="279">
        <f t="shared" si="3"/>
        <v>19.962</v>
      </c>
    </row>
    <row r="29" spans="1:10" s="273" customFormat="1" ht="15">
      <c r="A29" s="748"/>
      <c r="B29" s="301">
        <v>24</v>
      </c>
      <c r="C29" s="257">
        <v>10</v>
      </c>
      <c r="D29" s="275">
        <f t="shared" si="4"/>
        <v>1</v>
      </c>
      <c r="E29" s="275">
        <v>6</v>
      </c>
      <c r="F29" s="275">
        <f t="shared" si="0"/>
        <v>6</v>
      </c>
      <c r="G29" s="276">
        <v>16.155000000000001</v>
      </c>
      <c r="H29" s="277">
        <f t="shared" si="1"/>
        <v>96.93</v>
      </c>
      <c r="I29" s="278">
        <f t="shared" si="2"/>
        <v>0.61699999999999999</v>
      </c>
      <c r="J29" s="279">
        <f t="shared" si="3"/>
        <v>59.805999999999997</v>
      </c>
    </row>
    <row r="30" spans="1:10" s="273" customFormat="1" ht="15">
      <c r="A30" s="748"/>
      <c r="B30" s="301">
        <v>25</v>
      </c>
      <c r="C30" s="257">
        <v>10</v>
      </c>
      <c r="D30" s="275">
        <f t="shared" si="4"/>
        <v>1</v>
      </c>
      <c r="E30" s="275">
        <v>16</v>
      </c>
      <c r="F30" s="275">
        <f t="shared" si="0"/>
        <v>16</v>
      </c>
      <c r="G30" s="276">
        <v>2.8</v>
      </c>
      <c r="H30" s="277">
        <f t="shared" si="1"/>
        <v>44.8</v>
      </c>
      <c r="I30" s="278">
        <f t="shared" si="2"/>
        <v>0.61699999999999999</v>
      </c>
      <c r="J30" s="279">
        <f t="shared" si="3"/>
        <v>27.641999999999999</v>
      </c>
    </row>
    <row r="31" spans="1:10" s="273" customFormat="1" ht="15">
      <c r="A31" s="748"/>
      <c r="B31" s="301">
        <v>26</v>
      </c>
      <c r="C31" s="257">
        <v>10</v>
      </c>
      <c r="D31" s="275">
        <f t="shared" si="4"/>
        <v>1</v>
      </c>
      <c r="E31" s="275">
        <v>9</v>
      </c>
      <c r="F31" s="275">
        <f t="shared" si="0"/>
        <v>9</v>
      </c>
      <c r="G31" s="276">
        <v>2.0049999999999999</v>
      </c>
      <c r="H31" s="277">
        <f t="shared" si="1"/>
        <v>18.045000000000002</v>
      </c>
      <c r="I31" s="278">
        <f t="shared" si="2"/>
        <v>0.61699999999999999</v>
      </c>
      <c r="J31" s="279">
        <f t="shared" si="3"/>
        <v>11.134</v>
      </c>
    </row>
    <row r="32" spans="1:10" s="273" customFormat="1" ht="15">
      <c r="A32" s="748"/>
      <c r="B32" s="301">
        <v>27</v>
      </c>
      <c r="C32" s="257">
        <v>10</v>
      </c>
      <c r="D32" s="275">
        <f t="shared" si="4"/>
        <v>1</v>
      </c>
      <c r="E32" s="275">
        <v>79</v>
      </c>
      <c r="F32" s="275">
        <f t="shared" si="0"/>
        <v>79</v>
      </c>
      <c r="G32" s="276">
        <v>1.2</v>
      </c>
      <c r="H32" s="277">
        <f t="shared" si="1"/>
        <v>94.8</v>
      </c>
      <c r="I32" s="278">
        <f t="shared" si="2"/>
        <v>0.61699999999999999</v>
      </c>
      <c r="J32" s="279">
        <f t="shared" si="3"/>
        <v>58.491999999999997</v>
      </c>
    </row>
    <row r="33" spans="1:10" s="273" customFormat="1" ht="15">
      <c r="A33" s="748"/>
      <c r="B33" s="301">
        <v>28</v>
      </c>
      <c r="C33" s="257">
        <v>10</v>
      </c>
      <c r="D33" s="275">
        <f t="shared" si="4"/>
        <v>1</v>
      </c>
      <c r="E33" s="275">
        <v>6</v>
      </c>
      <c r="F33" s="275">
        <f t="shared" si="0"/>
        <v>6</v>
      </c>
      <c r="G33" s="276">
        <v>20.7</v>
      </c>
      <c r="H33" s="277">
        <f t="shared" si="1"/>
        <v>124.2</v>
      </c>
      <c r="I33" s="278">
        <f t="shared" si="2"/>
        <v>0.61699999999999999</v>
      </c>
      <c r="J33" s="279">
        <f t="shared" si="3"/>
        <v>76.631</v>
      </c>
    </row>
    <row r="34" spans="1:10" s="273" customFormat="1" ht="15">
      <c r="A34" s="748"/>
      <c r="B34" s="301">
        <v>29</v>
      </c>
      <c r="C34" s="257">
        <v>10</v>
      </c>
      <c r="D34" s="275">
        <f t="shared" si="4"/>
        <v>1</v>
      </c>
      <c r="E34" s="275">
        <v>16</v>
      </c>
      <c r="F34" s="275">
        <f t="shared" si="0"/>
        <v>16</v>
      </c>
      <c r="G34" s="276">
        <v>4.2249999999999996</v>
      </c>
      <c r="H34" s="277">
        <f t="shared" si="1"/>
        <v>67.599999999999994</v>
      </c>
      <c r="I34" s="278">
        <f t="shared" si="2"/>
        <v>0.61699999999999999</v>
      </c>
      <c r="J34" s="279">
        <f t="shared" si="3"/>
        <v>41.709000000000003</v>
      </c>
    </row>
    <row r="35" spans="1:10" s="273" customFormat="1" ht="15">
      <c r="A35" s="748"/>
      <c r="B35" s="301">
        <v>30</v>
      </c>
      <c r="C35" s="257">
        <v>16</v>
      </c>
      <c r="D35" s="275">
        <f t="shared" si="4"/>
        <v>1</v>
      </c>
      <c r="E35" s="275">
        <v>16</v>
      </c>
      <c r="F35" s="275">
        <f t="shared" si="0"/>
        <v>16</v>
      </c>
      <c r="G35" s="276">
        <v>2.8</v>
      </c>
      <c r="H35" s="277">
        <f t="shared" si="1"/>
        <v>44.8</v>
      </c>
      <c r="I35" s="278">
        <f t="shared" si="2"/>
        <v>1.5780000000000001</v>
      </c>
      <c r="J35" s="279">
        <f t="shared" si="3"/>
        <v>70.694000000000003</v>
      </c>
    </row>
    <row r="36" spans="1:10" s="273" customFormat="1" ht="15">
      <c r="A36" s="748"/>
      <c r="B36" s="301">
        <v>31</v>
      </c>
      <c r="C36" s="257">
        <v>16</v>
      </c>
      <c r="D36" s="275">
        <f t="shared" si="4"/>
        <v>1</v>
      </c>
      <c r="E36" s="275">
        <v>9</v>
      </c>
      <c r="F36" s="275">
        <f t="shared" si="0"/>
        <v>9</v>
      </c>
      <c r="G36" s="276">
        <v>2.0049999999999999</v>
      </c>
      <c r="H36" s="277">
        <f t="shared" si="1"/>
        <v>18.045000000000002</v>
      </c>
      <c r="I36" s="278">
        <f t="shared" si="2"/>
        <v>1.5780000000000001</v>
      </c>
      <c r="J36" s="279">
        <f t="shared" si="3"/>
        <v>28.475000000000001</v>
      </c>
    </row>
    <row r="37" spans="1:10" s="273" customFormat="1" ht="15">
      <c r="A37" s="748"/>
      <c r="B37" s="301">
        <v>32</v>
      </c>
      <c r="C37" s="257">
        <v>16</v>
      </c>
      <c r="D37" s="275">
        <f t="shared" si="4"/>
        <v>1</v>
      </c>
      <c r="E37" s="275">
        <v>77</v>
      </c>
      <c r="F37" s="275">
        <f t="shared" si="0"/>
        <v>77</v>
      </c>
      <c r="G37" s="276">
        <v>1.2</v>
      </c>
      <c r="H37" s="277">
        <f t="shared" si="1"/>
        <v>92.4</v>
      </c>
      <c r="I37" s="278">
        <f t="shared" si="2"/>
        <v>1.5780000000000001</v>
      </c>
      <c r="J37" s="279">
        <f t="shared" si="3"/>
        <v>145.80699999999999</v>
      </c>
    </row>
    <row r="38" spans="1:10" s="273" customFormat="1" ht="15">
      <c r="A38" s="748"/>
      <c r="B38" s="301">
        <v>33</v>
      </c>
      <c r="C38" s="257">
        <v>10</v>
      </c>
      <c r="D38" s="275">
        <f t="shared" si="4"/>
        <v>1</v>
      </c>
      <c r="E38" s="275">
        <v>6</v>
      </c>
      <c r="F38" s="275">
        <f t="shared" si="0"/>
        <v>6</v>
      </c>
      <c r="G38" s="276">
        <v>20.51</v>
      </c>
      <c r="H38" s="277">
        <f t="shared" si="1"/>
        <v>123.06</v>
      </c>
      <c r="I38" s="278">
        <f t="shared" si="2"/>
        <v>0.61699999999999999</v>
      </c>
      <c r="J38" s="279">
        <f t="shared" si="3"/>
        <v>75.927999999999997</v>
      </c>
    </row>
    <row r="39" spans="1:10" s="273" customFormat="1" ht="15">
      <c r="A39" s="748"/>
      <c r="B39" s="301">
        <v>34</v>
      </c>
      <c r="C39" s="257">
        <v>16</v>
      </c>
      <c r="D39" s="275">
        <f t="shared" si="4"/>
        <v>1</v>
      </c>
      <c r="E39" s="275">
        <v>105</v>
      </c>
      <c r="F39" s="275">
        <f t="shared" si="0"/>
        <v>105</v>
      </c>
      <c r="G39" s="276">
        <v>1.76</v>
      </c>
      <c r="H39" s="277">
        <f t="shared" si="1"/>
        <v>184.8</v>
      </c>
      <c r="I39" s="278">
        <f t="shared" si="2"/>
        <v>1.5780000000000001</v>
      </c>
      <c r="J39" s="279">
        <f t="shared" si="3"/>
        <v>291.61399999999998</v>
      </c>
    </row>
    <row r="40" spans="1:10" s="273" customFormat="1" ht="15">
      <c r="A40" s="748"/>
      <c r="B40" s="301">
        <v>35</v>
      </c>
      <c r="C40" s="257">
        <v>18</v>
      </c>
      <c r="D40" s="275">
        <f t="shared" si="4"/>
        <v>1</v>
      </c>
      <c r="E40" s="275">
        <v>4</v>
      </c>
      <c r="F40" s="275">
        <f t="shared" si="0"/>
        <v>4</v>
      </c>
      <c r="G40" s="276">
        <v>4.97</v>
      </c>
      <c r="H40" s="277">
        <f t="shared" si="1"/>
        <v>19.88</v>
      </c>
      <c r="I40" s="278">
        <f t="shared" si="2"/>
        <v>1.998</v>
      </c>
      <c r="J40" s="279">
        <f t="shared" si="3"/>
        <v>39.72</v>
      </c>
    </row>
    <row r="41" spans="1:10" s="273" customFormat="1" ht="15">
      <c r="A41" s="748"/>
      <c r="B41" s="301">
        <v>36</v>
      </c>
      <c r="C41" s="257">
        <v>18</v>
      </c>
      <c r="D41" s="275">
        <f t="shared" si="4"/>
        <v>1</v>
      </c>
      <c r="E41" s="275">
        <v>14</v>
      </c>
      <c r="F41" s="275">
        <f t="shared" si="0"/>
        <v>14</v>
      </c>
      <c r="G41" s="276">
        <v>2.855</v>
      </c>
      <c r="H41" s="277">
        <f t="shared" si="1"/>
        <v>39.97</v>
      </c>
      <c r="I41" s="278">
        <f t="shared" si="2"/>
        <v>1.998</v>
      </c>
      <c r="J41" s="279">
        <f t="shared" si="3"/>
        <v>79.86</v>
      </c>
    </row>
    <row r="42" spans="1:10" s="273" customFormat="1" ht="15">
      <c r="A42" s="748"/>
      <c r="B42" s="301">
        <v>37</v>
      </c>
      <c r="C42" s="257">
        <v>12</v>
      </c>
      <c r="D42" s="275">
        <f t="shared" si="4"/>
        <v>1</v>
      </c>
      <c r="E42" s="275">
        <v>44</v>
      </c>
      <c r="F42" s="275">
        <f t="shared" si="0"/>
        <v>44</v>
      </c>
      <c r="G42" s="276">
        <v>1.08</v>
      </c>
      <c r="H42" s="277">
        <f t="shared" si="1"/>
        <v>47.52</v>
      </c>
      <c r="I42" s="278">
        <f t="shared" si="2"/>
        <v>0.88800000000000001</v>
      </c>
      <c r="J42" s="279">
        <f t="shared" si="3"/>
        <v>42.198</v>
      </c>
    </row>
    <row r="43" spans="1:10" s="273" customFormat="1" ht="15">
      <c r="A43" s="748"/>
      <c r="B43" s="301">
        <v>38</v>
      </c>
      <c r="C43" s="257">
        <v>18</v>
      </c>
      <c r="D43" s="275">
        <f t="shared" si="4"/>
        <v>1</v>
      </c>
      <c r="E43" s="275">
        <v>2</v>
      </c>
      <c r="F43" s="275">
        <f t="shared" si="0"/>
        <v>2</v>
      </c>
      <c r="G43" s="276">
        <v>5.38</v>
      </c>
      <c r="H43" s="277">
        <f t="shared" si="1"/>
        <v>10.76</v>
      </c>
      <c r="I43" s="278">
        <f t="shared" si="2"/>
        <v>1.998</v>
      </c>
      <c r="J43" s="279">
        <f t="shared" si="3"/>
        <v>21.498000000000001</v>
      </c>
    </row>
    <row r="44" spans="1:10" s="273" customFormat="1" ht="15">
      <c r="A44" s="748"/>
      <c r="B44" s="301">
        <v>39</v>
      </c>
      <c r="C44" s="257">
        <v>12</v>
      </c>
      <c r="D44" s="275">
        <f t="shared" si="4"/>
        <v>1</v>
      </c>
      <c r="E44" s="275">
        <v>8</v>
      </c>
      <c r="F44" s="275">
        <f t="shared" si="0"/>
        <v>8</v>
      </c>
      <c r="G44" s="276">
        <v>2.8</v>
      </c>
      <c r="H44" s="277">
        <f t="shared" si="1"/>
        <v>22.4</v>
      </c>
      <c r="I44" s="278">
        <f t="shared" si="2"/>
        <v>0.88800000000000001</v>
      </c>
      <c r="J44" s="279">
        <f t="shared" si="3"/>
        <v>19.890999999999998</v>
      </c>
    </row>
    <row r="45" spans="1:10" s="273" customFormat="1" ht="15">
      <c r="A45" s="748"/>
      <c r="B45" s="301">
        <v>40</v>
      </c>
      <c r="C45" s="257">
        <v>12</v>
      </c>
      <c r="D45" s="275">
        <f t="shared" si="4"/>
        <v>1</v>
      </c>
      <c r="E45" s="275">
        <v>36</v>
      </c>
      <c r="F45" s="275">
        <f t="shared" si="0"/>
        <v>36</v>
      </c>
      <c r="G45" s="276">
        <v>1.7150000000000001</v>
      </c>
      <c r="H45" s="277">
        <f t="shared" si="1"/>
        <v>61.74</v>
      </c>
      <c r="I45" s="278">
        <f t="shared" si="2"/>
        <v>0.88800000000000001</v>
      </c>
      <c r="J45" s="279">
        <f t="shared" si="3"/>
        <v>54.825000000000003</v>
      </c>
    </row>
    <row r="46" spans="1:10" s="273" customFormat="1" ht="15">
      <c r="A46" s="748"/>
      <c r="B46" s="301">
        <v>41</v>
      </c>
      <c r="C46" s="257">
        <v>18</v>
      </c>
      <c r="D46" s="275">
        <f t="shared" si="4"/>
        <v>1</v>
      </c>
      <c r="E46" s="275">
        <v>5</v>
      </c>
      <c r="F46" s="275">
        <f t="shared" si="0"/>
        <v>5</v>
      </c>
      <c r="G46" s="276">
        <v>4.4000000000000004</v>
      </c>
      <c r="H46" s="277">
        <f t="shared" si="1"/>
        <v>22</v>
      </c>
      <c r="I46" s="278">
        <f t="shared" si="2"/>
        <v>1.998</v>
      </c>
      <c r="J46" s="279">
        <f t="shared" si="3"/>
        <v>43.956000000000003</v>
      </c>
    </row>
    <row r="47" spans="1:10" s="273" customFormat="1" ht="15">
      <c r="A47" s="748"/>
      <c r="B47" s="301">
        <v>42</v>
      </c>
      <c r="C47" s="257">
        <v>18</v>
      </c>
      <c r="D47" s="275">
        <f t="shared" si="4"/>
        <v>1</v>
      </c>
      <c r="E47" s="275">
        <v>9</v>
      </c>
      <c r="F47" s="275">
        <f t="shared" si="0"/>
        <v>9</v>
      </c>
      <c r="G47" s="276">
        <v>2.9449999999999998</v>
      </c>
      <c r="H47" s="277">
        <f t="shared" si="1"/>
        <v>26.504999999999999</v>
      </c>
      <c r="I47" s="278">
        <f t="shared" si="2"/>
        <v>1.998</v>
      </c>
      <c r="J47" s="279">
        <f t="shared" si="3"/>
        <v>52.957000000000001</v>
      </c>
    </row>
    <row r="48" spans="1:10" s="273" customFormat="1" ht="15">
      <c r="A48" s="748"/>
      <c r="B48" s="301">
        <v>43</v>
      </c>
      <c r="C48" s="257">
        <v>12</v>
      </c>
      <c r="D48" s="275">
        <f t="shared" si="4"/>
        <v>1</v>
      </c>
      <c r="E48" s="275">
        <v>5</v>
      </c>
      <c r="F48" s="275">
        <f t="shared" si="0"/>
        <v>5</v>
      </c>
      <c r="G48" s="276">
        <v>4.4000000000000004</v>
      </c>
      <c r="H48" s="277">
        <f t="shared" si="1"/>
        <v>22</v>
      </c>
      <c r="I48" s="278">
        <f t="shared" si="2"/>
        <v>0.88800000000000001</v>
      </c>
      <c r="J48" s="279">
        <f t="shared" si="3"/>
        <v>19.536000000000001</v>
      </c>
    </row>
    <row r="49" spans="1:35" s="273" customFormat="1" ht="15">
      <c r="A49" s="748"/>
      <c r="B49" s="301">
        <v>44</v>
      </c>
      <c r="C49" s="257">
        <v>12</v>
      </c>
      <c r="D49" s="275">
        <f t="shared" si="4"/>
        <v>1</v>
      </c>
      <c r="E49" s="275">
        <v>9</v>
      </c>
      <c r="F49" s="275">
        <f t="shared" si="0"/>
        <v>9</v>
      </c>
      <c r="G49" s="276">
        <v>2.9449999999999998</v>
      </c>
      <c r="H49" s="277">
        <f t="shared" si="1"/>
        <v>26.504999999999999</v>
      </c>
      <c r="I49" s="278">
        <f t="shared" si="2"/>
        <v>0.88800000000000001</v>
      </c>
      <c r="J49" s="279">
        <f t="shared" si="3"/>
        <v>23.536000000000001</v>
      </c>
    </row>
    <row r="50" spans="1:35" s="273" customFormat="1" ht="15">
      <c r="A50" s="748"/>
      <c r="B50" s="301">
        <v>45</v>
      </c>
      <c r="C50" s="257">
        <v>16</v>
      </c>
      <c r="D50" s="275">
        <v>9</v>
      </c>
      <c r="E50" s="275">
        <v>4</v>
      </c>
      <c r="F50" s="275">
        <f t="shared" si="0"/>
        <v>36</v>
      </c>
      <c r="G50" s="276">
        <v>0.45</v>
      </c>
      <c r="H50" s="277">
        <f t="shared" si="1"/>
        <v>16.2</v>
      </c>
      <c r="I50" s="278">
        <f t="shared" si="2"/>
        <v>1.5780000000000001</v>
      </c>
      <c r="J50" s="279">
        <f t="shared" si="3"/>
        <v>25.564</v>
      </c>
    </row>
    <row r="51" spans="1:35" s="262" customFormat="1" ht="15">
      <c r="A51" s="261"/>
      <c r="B51" s="284"/>
      <c r="C51" s="284"/>
      <c r="D51" s="284"/>
      <c r="E51" s="284"/>
      <c r="F51" s="284"/>
      <c r="G51" s="285"/>
      <c r="H51" s="286"/>
      <c r="I51" s="287"/>
      <c r="J51" s="288"/>
    </row>
    <row r="52" spans="1:35" s="291" customFormat="1" ht="15">
      <c r="A52" s="261"/>
      <c r="B52" s="289" t="s">
        <v>473</v>
      </c>
      <c r="C52" s="284"/>
      <c r="D52" s="284"/>
      <c r="E52" s="284"/>
      <c r="F52" s="290"/>
      <c r="G52" s="285"/>
      <c r="H52" s="286"/>
      <c r="I52" s="287"/>
      <c r="K52" s="286"/>
    </row>
    <row r="53" spans="1:35" s="291" customFormat="1" ht="15">
      <c r="A53" s="261"/>
      <c r="B53" s="292" t="s">
        <v>752</v>
      </c>
      <c r="C53" s="284"/>
      <c r="D53" s="284"/>
      <c r="F53" s="293">
        <f>SUMIF($C$6:$C$50,10,$J$6:$J$50)</f>
        <v>515.19299999999998</v>
      </c>
      <c r="G53" s="294" t="s">
        <v>273</v>
      </c>
      <c r="I53" s="287"/>
      <c r="K53" s="295"/>
    </row>
    <row r="54" spans="1:35" s="291" customFormat="1" ht="15">
      <c r="A54" s="261"/>
      <c r="B54" s="292" t="s">
        <v>754</v>
      </c>
      <c r="C54" s="284"/>
      <c r="D54" s="284"/>
      <c r="F54" s="293">
        <f>SUMIF($C$6:$C$50,12,$J$6:$J$50)</f>
        <v>732.702</v>
      </c>
      <c r="G54" s="294" t="s">
        <v>273</v>
      </c>
      <c r="I54" s="287"/>
      <c r="K54" s="295"/>
    </row>
    <row r="55" spans="1:35" s="291" customFormat="1" ht="15">
      <c r="A55" s="261"/>
      <c r="B55" s="292" t="s">
        <v>741</v>
      </c>
      <c r="C55" s="284"/>
      <c r="D55" s="284"/>
      <c r="F55" s="293">
        <f>SUMIF($C$6:$C$50,16,$J$6:$J$50)</f>
        <v>714.51099999999985</v>
      </c>
      <c r="G55" s="294" t="s">
        <v>273</v>
      </c>
      <c r="I55" s="287"/>
      <c r="K55" s="295"/>
    </row>
    <row r="56" spans="1:35" s="291" customFormat="1" ht="15">
      <c r="A56" s="261"/>
      <c r="B56" s="292" t="s">
        <v>742</v>
      </c>
      <c r="C56" s="284"/>
      <c r="D56" s="284"/>
      <c r="F56" s="293">
        <f>SUMIF($C$6:$C$50,18,$J$6:$J$50)</f>
        <v>1070.8580000000002</v>
      </c>
      <c r="G56" s="294" t="s">
        <v>273</v>
      </c>
      <c r="I56" s="287"/>
      <c r="K56" s="295"/>
    </row>
    <row r="57" spans="1:35" s="291" customFormat="1" ht="15">
      <c r="A57" s="261"/>
      <c r="B57" s="292"/>
      <c r="C57" s="284"/>
      <c r="D57" s="284"/>
      <c r="F57" s="293"/>
      <c r="G57" s="294"/>
      <c r="I57" s="287"/>
      <c r="K57" s="295"/>
    </row>
    <row r="58" spans="1:35" s="437" customFormat="1">
      <c r="D58" s="438" t="s">
        <v>788</v>
      </c>
      <c r="G58" s="439"/>
      <c r="I58" s="438" t="s">
        <v>789</v>
      </c>
      <c r="P58" s="438"/>
      <c r="Q58" s="438"/>
      <c r="R58" s="438"/>
      <c r="S58" s="438"/>
      <c r="T58" s="438"/>
      <c r="U58" s="438"/>
      <c r="V58" s="438"/>
      <c r="W58" s="438"/>
      <c r="X58" s="438"/>
      <c r="Y58" s="438"/>
      <c r="Z58" s="438"/>
      <c r="AA58" s="438"/>
    </row>
    <row r="59" spans="1:35" s="417" customFormat="1" ht="15">
      <c r="F59" s="436"/>
      <c r="G59" s="440"/>
      <c r="H59" s="436"/>
      <c r="J59" s="441"/>
      <c r="L59" s="441"/>
      <c r="M59" s="436"/>
      <c r="N59" s="436"/>
      <c r="AH59" s="441"/>
    </row>
    <row r="60" spans="1:35" s="417" customFormat="1" ht="15">
      <c r="F60" s="436"/>
      <c r="G60" s="436"/>
      <c r="H60" s="436"/>
      <c r="J60" s="441"/>
      <c r="L60" s="441"/>
      <c r="M60" s="436"/>
      <c r="N60" s="436"/>
    </row>
    <row r="61" spans="1:35" s="417" customFormat="1" ht="15">
      <c r="F61" s="436"/>
      <c r="G61" s="436"/>
      <c r="H61" s="436"/>
      <c r="M61" s="436"/>
      <c r="N61" s="436"/>
      <c r="AG61" s="433"/>
      <c r="AH61" s="433"/>
      <c r="AI61" s="433"/>
    </row>
    <row r="62" spans="1:35" s="417" customFormat="1" ht="15">
      <c r="F62" s="436"/>
      <c r="G62" s="436"/>
      <c r="H62" s="436"/>
      <c r="M62" s="436"/>
      <c r="N62" s="436"/>
    </row>
    <row r="63" spans="1:35" s="417" customFormat="1">
      <c r="D63" s="442" t="s">
        <v>792</v>
      </c>
      <c r="E63" s="436"/>
      <c r="F63" s="436"/>
      <c r="G63" s="436"/>
      <c r="H63" s="436"/>
      <c r="I63" s="443" t="s">
        <v>820</v>
      </c>
      <c r="M63" s="436"/>
      <c r="N63" s="436"/>
    </row>
    <row r="64" spans="1:35" s="262" customFormat="1">
      <c r="A64" s="261"/>
      <c r="B64" s="297"/>
      <c r="C64" s="296"/>
      <c r="D64" s="296"/>
      <c r="E64" s="296"/>
      <c r="F64" s="296"/>
      <c r="G64" s="296"/>
      <c r="H64" s="286"/>
      <c r="I64" s="260"/>
      <c r="J64" s="260"/>
    </row>
    <row r="65" spans="1:10" s="262" customFormat="1">
      <c r="A65" s="261"/>
      <c r="B65" s="297"/>
      <c r="C65" s="296"/>
      <c r="D65" s="296"/>
      <c r="E65" s="296"/>
      <c r="F65" s="296"/>
      <c r="G65" s="296"/>
      <c r="H65" s="286"/>
      <c r="I65" s="260"/>
      <c r="J65" s="259"/>
    </row>
    <row r="66" spans="1:10" s="262" customFormat="1">
      <c r="A66" s="261"/>
      <c r="D66" s="297"/>
      <c r="E66" s="298"/>
      <c r="G66" s="297"/>
      <c r="H66" s="286"/>
      <c r="I66" s="260"/>
      <c r="J66" s="259"/>
    </row>
    <row r="70" spans="1:10" s="262" customFormat="1" ht="15">
      <c r="A70" s="261"/>
      <c r="B70" s="284"/>
      <c r="C70" s="284"/>
      <c r="D70" s="284"/>
      <c r="E70" s="284"/>
      <c r="F70" s="284"/>
      <c r="G70" s="285"/>
      <c r="H70" s="286"/>
      <c r="I70" s="287"/>
      <c r="J70" s="288"/>
    </row>
    <row r="71" spans="1:10" s="262" customFormat="1" ht="15">
      <c r="A71" s="261"/>
      <c r="B71" s="284"/>
      <c r="C71" s="284"/>
      <c r="D71" s="284"/>
      <c r="E71" s="284"/>
      <c r="F71" s="284"/>
      <c r="G71" s="285"/>
      <c r="H71" s="286"/>
      <c r="I71" s="287"/>
      <c r="J71" s="288"/>
    </row>
    <row r="72" spans="1:10" s="262" customFormat="1" ht="15">
      <c r="A72" s="261"/>
      <c r="B72" s="284"/>
      <c r="C72" s="284"/>
      <c r="D72" s="284"/>
      <c r="E72" s="284"/>
      <c r="F72" s="284"/>
      <c r="G72" s="285"/>
      <c r="H72" s="286"/>
      <c r="I72" s="287"/>
      <c r="J72" s="288"/>
    </row>
    <row r="73" spans="1:10" s="262" customFormat="1" ht="15">
      <c r="A73" s="261"/>
      <c r="B73" s="284"/>
      <c r="C73" s="284"/>
      <c r="D73" s="284"/>
      <c r="E73" s="284"/>
      <c r="F73" s="284"/>
      <c r="G73" s="285"/>
      <c r="H73" s="286"/>
      <c r="I73" s="287"/>
      <c r="J73" s="288"/>
    </row>
    <row r="74" spans="1:10" s="262" customFormat="1" ht="15">
      <c r="A74" s="261"/>
      <c r="B74" s="284"/>
      <c r="C74" s="284"/>
      <c r="D74" s="284"/>
      <c r="E74" s="284"/>
      <c r="F74" s="284"/>
      <c r="G74" s="285"/>
      <c r="H74" s="286"/>
      <c r="I74" s="287"/>
      <c r="J74" s="288"/>
    </row>
    <row r="75" spans="1:10" s="262" customFormat="1" ht="15">
      <c r="A75" s="261"/>
      <c r="B75" s="284"/>
      <c r="C75" s="284"/>
      <c r="D75" s="284"/>
      <c r="E75" s="284"/>
      <c r="F75" s="284"/>
      <c r="G75" s="285"/>
      <c r="H75" s="286"/>
      <c r="I75" s="287"/>
      <c r="J75" s="288"/>
    </row>
  </sheetData>
  <mergeCells count="8">
    <mergeCell ref="A6:A50"/>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sheetPr>
    <tabColor rgb="FFFFFF00"/>
  </sheetPr>
  <dimension ref="A1:AI34"/>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22.5">
      <c r="A1" s="263" t="s">
        <v>828</v>
      </c>
      <c r="B1" s="264"/>
      <c r="C1" s="264"/>
      <c r="D1" s="264"/>
      <c r="E1" s="264"/>
      <c r="F1" s="264"/>
      <c r="G1" s="264"/>
      <c r="H1" s="264"/>
      <c r="I1" s="264"/>
      <c r="J1" s="265"/>
    </row>
    <row r="2" spans="1:11" s="266" customFormat="1" ht="20.25">
      <c r="A2" s="264"/>
      <c r="B2" s="264"/>
      <c r="C2" s="264"/>
      <c r="D2" s="264"/>
      <c r="E2" s="264"/>
      <c r="F2" s="392"/>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466" t="s">
        <v>470</v>
      </c>
      <c r="F5" s="466" t="s">
        <v>471</v>
      </c>
      <c r="G5" s="466" t="s">
        <v>472</v>
      </c>
      <c r="H5" s="466" t="s">
        <v>471</v>
      </c>
      <c r="I5" s="754"/>
      <c r="J5" s="751"/>
    </row>
    <row r="6" spans="1:11" s="273" customFormat="1" ht="15">
      <c r="A6" s="748" t="s">
        <v>829</v>
      </c>
      <c r="B6" s="301">
        <v>7</v>
      </c>
      <c r="C6" s="257">
        <v>18</v>
      </c>
      <c r="D6" s="275">
        <v>2</v>
      </c>
      <c r="E6" s="275">
        <v>4</v>
      </c>
      <c r="F6" s="275">
        <f t="shared" ref="F6:F11" si="0">D6*E6</f>
        <v>8</v>
      </c>
      <c r="G6" s="276">
        <v>6.9</v>
      </c>
      <c r="H6" s="277">
        <f t="shared" ref="H6:H11" si="1">ROUND(F6*G6,3)</f>
        <v>55.2</v>
      </c>
      <c r="I6" s="278">
        <f t="shared" ref="I6:I11" si="2">ROUND(3.1416*(C6/1000)^2/4*7850*1,3)</f>
        <v>1.998</v>
      </c>
      <c r="J6" s="279">
        <f t="shared" ref="J6:J11" si="3">ROUND(H6*I6,3)</f>
        <v>110.29</v>
      </c>
    </row>
    <row r="7" spans="1:11" s="273" customFormat="1" ht="15">
      <c r="A7" s="748"/>
      <c r="B7" s="301">
        <v>8</v>
      </c>
      <c r="C7" s="257">
        <v>18</v>
      </c>
      <c r="D7" s="275">
        <f>+D6</f>
        <v>2</v>
      </c>
      <c r="E7" s="275">
        <v>15</v>
      </c>
      <c r="F7" s="275">
        <f t="shared" si="0"/>
        <v>30</v>
      </c>
      <c r="G7" s="276">
        <v>4.2350000000000003</v>
      </c>
      <c r="H7" s="277">
        <f t="shared" si="1"/>
        <v>127.05</v>
      </c>
      <c r="I7" s="278">
        <f t="shared" si="2"/>
        <v>1.998</v>
      </c>
      <c r="J7" s="279">
        <f t="shared" si="3"/>
        <v>253.846</v>
      </c>
    </row>
    <row r="8" spans="1:11" s="273" customFormat="1" ht="15">
      <c r="A8" s="748"/>
      <c r="B8" s="301">
        <v>9</v>
      </c>
      <c r="C8" s="257">
        <v>12</v>
      </c>
      <c r="D8" s="275">
        <f>+D7</f>
        <v>2</v>
      </c>
      <c r="E8" s="275">
        <v>60</v>
      </c>
      <c r="F8" s="275">
        <f t="shared" si="0"/>
        <v>120</v>
      </c>
      <c r="G8" s="276">
        <v>2.23</v>
      </c>
      <c r="H8" s="277">
        <f t="shared" si="1"/>
        <v>267.60000000000002</v>
      </c>
      <c r="I8" s="278">
        <f t="shared" si="2"/>
        <v>0.88800000000000001</v>
      </c>
      <c r="J8" s="279">
        <f t="shared" si="3"/>
        <v>237.62899999999999</v>
      </c>
    </row>
    <row r="9" spans="1:11" s="273" customFormat="1" ht="15">
      <c r="A9" s="748"/>
      <c r="B9" s="301">
        <v>10</v>
      </c>
      <c r="C9" s="257">
        <v>12</v>
      </c>
      <c r="D9" s="275">
        <f>+D8</f>
        <v>2</v>
      </c>
      <c r="E9" s="275">
        <v>8</v>
      </c>
      <c r="F9" s="275">
        <f t="shared" si="0"/>
        <v>16</v>
      </c>
      <c r="G9" s="276">
        <v>4</v>
      </c>
      <c r="H9" s="277">
        <f t="shared" si="1"/>
        <v>64</v>
      </c>
      <c r="I9" s="278">
        <f t="shared" si="2"/>
        <v>0.88800000000000001</v>
      </c>
      <c r="J9" s="279">
        <f t="shared" si="3"/>
        <v>56.832000000000001</v>
      </c>
    </row>
    <row r="10" spans="1:11" s="273" customFormat="1" ht="15">
      <c r="A10" s="748"/>
      <c r="B10" s="301">
        <v>11</v>
      </c>
      <c r="C10" s="257">
        <v>12</v>
      </c>
      <c r="D10" s="275">
        <f>+D9</f>
        <v>2</v>
      </c>
      <c r="E10" s="275">
        <v>4</v>
      </c>
      <c r="F10" s="275">
        <f t="shared" si="0"/>
        <v>8</v>
      </c>
      <c r="G10" s="276">
        <v>6.9</v>
      </c>
      <c r="H10" s="277">
        <f t="shared" si="1"/>
        <v>55.2</v>
      </c>
      <c r="I10" s="278">
        <f t="shared" si="2"/>
        <v>0.88800000000000001</v>
      </c>
      <c r="J10" s="279">
        <f t="shared" si="3"/>
        <v>49.018000000000001</v>
      </c>
    </row>
    <row r="11" spans="1:11" s="273" customFormat="1" ht="15">
      <c r="A11" s="748"/>
      <c r="B11" s="301">
        <v>12</v>
      </c>
      <c r="C11" s="257">
        <v>12</v>
      </c>
      <c r="D11" s="275">
        <f>+D10</f>
        <v>2</v>
      </c>
      <c r="E11" s="275">
        <v>15</v>
      </c>
      <c r="F11" s="275">
        <f t="shared" si="0"/>
        <v>30</v>
      </c>
      <c r="G11" s="276">
        <v>4.2350000000000003</v>
      </c>
      <c r="H11" s="277">
        <f t="shared" si="1"/>
        <v>127.05</v>
      </c>
      <c r="I11" s="278">
        <f t="shared" si="2"/>
        <v>0.88800000000000001</v>
      </c>
      <c r="J11" s="279">
        <f t="shared" si="3"/>
        <v>112.82</v>
      </c>
    </row>
    <row r="12" spans="1:11" s="262" customFormat="1" ht="15">
      <c r="A12" s="261"/>
      <c r="B12" s="284"/>
      <c r="C12" s="284"/>
      <c r="D12" s="284"/>
      <c r="E12" s="284"/>
      <c r="F12" s="284"/>
      <c r="G12" s="285"/>
      <c r="H12" s="286"/>
      <c r="I12" s="287"/>
      <c r="J12" s="288"/>
    </row>
    <row r="13" spans="1:11" s="291" customFormat="1" ht="15">
      <c r="A13" s="261"/>
      <c r="B13" s="289" t="s">
        <v>473</v>
      </c>
      <c r="C13" s="284"/>
      <c r="D13" s="284"/>
      <c r="E13" s="284"/>
      <c r="F13" s="290"/>
      <c r="G13" s="285"/>
      <c r="H13" s="286"/>
      <c r="I13" s="287"/>
      <c r="K13" s="286"/>
    </row>
    <row r="14" spans="1:11" s="291" customFormat="1" ht="15">
      <c r="A14" s="261"/>
      <c r="B14" s="292" t="s">
        <v>754</v>
      </c>
      <c r="C14" s="284"/>
      <c r="D14" s="284"/>
      <c r="F14" s="293">
        <f>SUMIF($C$6:$C$11,12,$J$6:$J$11)</f>
        <v>456.29900000000004</v>
      </c>
      <c r="G14" s="294" t="s">
        <v>273</v>
      </c>
      <c r="I14" s="287"/>
      <c r="K14" s="295"/>
    </row>
    <row r="15" spans="1:11" s="291" customFormat="1" ht="15">
      <c r="A15" s="261"/>
      <c r="B15" s="292" t="s">
        <v>742</v>
      </c>
      <c r="C15" s="284"/>
      <c r="D15" s="284"/>
      <c r="F15" s="293">
        <f>SUMIF($C$6:$C$11,18,$J$6:$J$11)</f>
        <v>364.13600000000002</v>
      </c>
      <c r="G15" s="294" t="s">
        <v>273</v>
      </c>
      <c r="I15" s="287"/>
      <c r="K15" s="295"/>
    </row>
    <row r="16" spans="1:11" s="291" customFormat="1" ht="15">
      <c r="A16" s="261"/>
      <c r="B16" s="292"/>
      <c r="C16" s="284"/>
      <c r="D16" s="284"/>
      <c r="F16" s="293"/>
      <c r="G16" s="294"/>
      <c r="I16" s="287"/>
      <c r="K16" s="295"/>
    </row>
    <row r="17" spans="1:35" s="437" customFormat="1">
      <c r="D17" s="438" t="s">
        <v>788</v>
      </c>
      <c r="G17" s="439"/>
      <c r="I17" s="438" t="s">
        <v>789</v>
      </c>
      <c r="P17" s="438"/>
      <c r="Q17" s="438"/>
      <c r="R17" s="438"/>
      <c r="S17" s="438"/>
      <c r="T17" s="438"/>
      <c r="U17" s="438"/>
      <c r="V17" s="438"/>
      <c r="W17" s="438"/>
      <c r="X17" s="438"/>
      <c r="Y17" s="438"/>
      <c r="Z17" s="438"/>
      <c r="AA17" s="438"/>
    </row>
    <row r="18" spans="1:35" s="417" customFormat="1" ht="15">
      <c r="F18" s="436"/>
      <c r="G18" s="440"/>
      <c r="H18" s="436"/>
      <c r="J18" s="441"/>
      <c r="L18" s="441"/>
      <c r="M18" s="436"/>
      <c r="N18" s="436"/>
      <c r="AH18" s="441"/>
    </row>
    <row r="19" spans="1:35" s="417" customFormat="1" ht="15">
      <c r="F19" s="436"/>
      <c r="G19" s="436"/>
      <c r="H19" s="436"/>
      <c r="J19" s="441"/>
      <c r="L19" s="441"/>
      <c r="M19" s="436"/>
      <c r="N19" s="436"/>
    </row>
    <row r="20" spans="1:35" s="417" customFormat="1" ht="15">
      <c r="F20" s="436"/>
      <c r="G20" s="436"/>
      <c r="H20" s="436"/>
      <c r="M20" s="436"/>
      <c r="N20" s="436"/>
      <c r="AG20" s="433"/>
      <c r="AH20" s="433"/>
      <c r="AI20" s="433"/>
    </row>
    <row r="21" spans="1:35" s="417" customFormat="1" ht="15">
      <c r="F21" s="436"/>
      <c r="G21" s="436"/>
      <c r="H21" s="436"/>
      <c r="M21" s="436"/>
      <c r="N21" s="436"/>
    </row>
    <row r="22" spans="1:35" s="417" customFormat="1">
      <c r="D22" s="442" t="s">
        <v>792</v>
      </c>
      <c r="E22" s="436"/>
      <c r="F22" s="436"/>
      <c r="G22" s="436"/>
      <c r="H22" s="436"/>
      <c r="I22" s="443" t="s">
        <v>820</v>
      </c>
      <c r="M22" s="436"/>
      <c r="N22" s="436"/>
    </row>
    <row r="23" spans="1:35" s="262" customFormat="1">
      <c r="A23" s="261"/>
      <c r="B23" s="297"/>
      <c r="C23" s="296"/>
      <c r="D23" s="296"/>
      <c r="E23" s="296"/>
      <c r="F23" s="296"/>
      <c r="G23" s="296"/>
      <c r="H23" s="286"/>
      <c r="I23" s="260"/>
      <c r="J23" s="260"/>
    </row>
    <row r="24" spans="1:35" s="262" customFormat="1">
      <c r="A24" s="261"/>
      <c r="B24" s="297"/>
      <c r="C24" s="296"/>
      <c r="D24" s="296"/>
      <c r="E24" s="296"/>
      <c r="F24" s="296"/>
      <c r="G24" s="296"/>
      <c r="H24" s="286"/>
      <c r="I24" s="260"/>
      <c r="J24" s="259"/>
    </row>
    <row r="25" spans="1:35" s="262" customFormat="1">
      <c r="A25" s="261"/>
      <c r="D25" s="297"/>
      <c r="E25" s="298"/>
      <c r="G25" s="297"/>
      <c r="H25" s="286"/>
      <c r="I25" s="260"/>
      <c r="J25" s="259"/>
    </row>
    <row r="29" spans="1:35" s="262" customFormat="1" ht="15">
      <c r="A29" s="261"/>
      <c r="B29" s="284"/>
      <c r="C29" s="284"/>
      <c r="D29" s="284"/>
      <c r="E29" s="284"/>
      <c r="F29" s="284"/>
      <c r="G29" s="285"/>
      <c r="H29" s="286"/>
      <c r="I29" s="287"/>
      <c r="J29" s="288"/>
    </row>
    <row r="30" spans="1:35" s="262" customFormat="1" ht="15">
      <c r="A30" s="261"/>
      <c r="B30" s="284"/>
      <c r="C30" s="284"/>
      <c r="D30" s="284"/>
      <c r="E30" s="284"/>
      <c r="F30" s="284"/>
      <c r="G30" s="285"/>
      <c r="H30" s="286"/>
      <c r="I30" s="287"/>
      <c r="J30" s="288"/>
    </row>
    <row r="31" spans="1:35" s="262" customFormat="1" ht="15">
      <c r="A31" s="261"/>
      <c r="B31" s="284"/>
      <c r="C31" s="284"/>
      <c r="D31" s="284"/>
      <c r="E31" s="284"/>
      <c r="F31" s="284"/>
      <c r="G31" s="285"/>
      <c r="H31" s="286"/>
      <c r="I31" s="287"/>
      <c r="J31" s="288"/>
    </row>
    <row r="32" spans="1:35"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sheetData>
  <mergeCells count="8">
    <mergeCell ref="A6:A11"/>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sheetPr>
    <tabColor rgb="FFFFFF00"/>
  </sheetPr>
  <dimension ref="A1:AI34"/>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45">
      <c r="A1" s="263" t="s">
        <v>825</v>
      </c>
      <c r="B1" s="264"/>
      <c r="C1" s="264"/>
      <c r="D1" s="264"/>
      <c r="E1" s="264"/>
      <c r="F1" s="264"/>
      <c r="G1" s="264"/>
      <c r="H1" s="264"/>
      <c r="I1" s="264"/>
      <c r="J1" s="265"/>
    </row>
    <row r="2" spans="1:11" s="266" customFormat="1" ht="20.25">
      <c r="A2" s="264"/>
      <c r="B2" s="264"/>
      <c r="C2" s="264"/>
      <c r="D2" s="264"/>
      <c r="E2" s="264"/>
      <c r="F2" s="392"/>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393" t="s">
        <v>470</v>
      </c>
      <c r="F5" s="393" t="s">
        <v>471</v>
      </c>
      <c r="G5" s="393" t="s">
        <v>472</v>
      </c>
      <c r="H5" s="393" t="s">
        <v>471</v>
      </c>
      <c r="I5" s="754"/>
      <c r="J5" s="751"/>
    </row>
    <row r="6" spans="1:11" s="273" customFormat="1" ht="15">
      <c r="A6" s="748" t="s">
        <v>827</v>
      </c>
      <c r="B6" s="301">
        <v>1</v>
      </c>
      <c r="C6" s="257">
        <v>18</v>
      </c>
      <c r="D6" s="275">
        <v>2</v>
      </c>
      <c r="E6" s="275">
        <v>4</v>
      </c>
      <c r="F6" s="275">
        <f t="shared" ref="F6:F11" si="0">D6*E6</f>
        <v>8</v>
      </c>
      <c r="G6" s="276">
        <v>7.77</v>
      </c>
      <c r="H6" s="277">
        <f t="shared" ref="H6:H11" si="1">ROUND(F6*G6,3)</f>
        <v>62.16</v>
      </c>
      <c r="I6" s="278">
        <f t="shared" ref="I6:I11" si="2">ROUND(3.1416*(C6/1000)^2/4*7850*1,3)</f>
        <v>1.998</v>
      </c>
      <c r="J6" s="279">
        <f t="shared" ref="J6:J11" si="3">ROUND(H6*I6,3)</f>
        <v>124.196</v>
      </c>
    </row>
    <row r="7" spans="1:11" s="273" customFormat="1" ht="15">
      <c r="A7" s="748"/>
      <c r="B7" s="301">
        <v>2</v>
      </c>
      <c r="C7" s="257">
        <v>18</v>
      </c>
      <c r="D7" s="275">
        <v>2</v>
      </c>
      <c r="E7" s="275">
        <v>16</v>
      </c>
      <c r="F7" s="275">
        <f t="shared" si="0"/>
        <v>32</v>
      </c>
      <c r="G7" s="276">
        <v>4.2450000000000001</v>
      </c>
      <c r="H7" s="277">
        <f t="shared" si="1"/>
        <v>135.84</v>
      </c>
      <c r="I7" s="278">
        <f t="shared" si="2"/>
        <v>1.998</v>
      </c>
      <c r="J7" s="279">
        <f t="shared" si="3"/>
        <v>271.40800000000002</v>
      </c>
      <c r="K7" s="280"/>
    </row>
    <row r="8" spans="1:11" s="281" customFormat="1" ht="15">
      <c r="A8" s="748"/>
      <c r="B8" s="301">
        <v>3</v>
      </c>
      <c r="C8" s="257">
        <v>18</v>
      </c>
      <c r="D8" s="275">
        <f>+D7</f>
        <v>2</v>
      </c>
      <c r="E8" s="275">
        <v>2</v>
      </c>
      <c r="F8" s="275">
        <f t="shared" si="0"/>
        <v>4</v>
      </c>
      <c r="G8" s="276">
        <v>9.15</v>
      </c>
      <c r="H8" s="277">
        <f t="shared" si="1"/>
        <v>36.6</v>
      </c>
      <c r="I8" s="278">
        <f t="shared" si="2"/>
        <v>1.998</v>
      </c>
      <c r="J8" s="279">
        <f t="shared" si="3"/>
        <v>73.126999999999995</v>
      </c>
    </row>
    <row r="9" spans="1:11" s="273" customFormat="1" ht="15">
      <c r="A9" s="748"/>
      <c r="B9" s="301">
        <v>4</v>
      </c>
      <c r="C9" s="257">
        <v>12</v>
      </c>
      <c r="D9" s="275">
        <f>+D8</f>
        <v>2</v>
      </c>
      <c r="E9" s="275">
        <v>62</v>
      </c>
      <c r="F9" s="275">
        <f t="shared" si="0"/>
        <v>124</v>
      </c>
      <c r="G9" s="276">
        <v>0.90500000000000003</v>
      </c>
      <c r="H9" s="277">
        <f t="shared" si="1"/>
        <v>112.22</v>
      </c>
      <c r="I9" s="278">
        <f t="shared" si="2"/>
        <v>0.88800000000000001</v>
      </c>
      <c r="J9" s="279">
        <f t="shared" si="3"/>
        <v>99.650999999999996</v>
      </c>
    </row>
    <row r="10" spans="1:11" s="273" customFormat="1" ht="15">
      <c r="A10" s="748"/>
      <c r="B10" s="301">
        <v>5</v>
      </c>
      <c r="C10" s="257">
        <v>12</v>
      </c>
      <c r="D10" s="275">
        <f>+D9</f>
        <v>2</v>
      </c>
      <c r="E10" s="275">
        <v>6</v>
      </c>
      <c r="F10" s="275">
        <f t="shared" si="0"/>
        <v>12</v>
      </c>
      <c r="G10" s="276">
        <v>0.85</v>
      </c>
      <c r="H10" s="277">
        <f t="shared" si="1"/>
        <v>10.199999999999999</v>
      </c>
      <c r="I10" s="278">
        <f t="shared" si="2"/>
        <v>0.88800000000000001</v>
      </c>
      <c r="J10" s="279">
        <f t="shared" si="3"/>
        <v>9.0579999999999998</v>
      </c>
    </row>
    <row r="11" spans="1:11" s="273" customFormat="1" ht="15">
      <c r="A11" s="748"/>
      <c r="B11" s="301">
        <v>6</v>
      </c>
      <c r="C11" s="257">
        <v>12</v>
      </c>
      <c r="D11" s="275">
        <f>+D10</f>
        <v>2</v>
      </c>
      <c r="E11" s="275">
        <v>2</v>
      </c>
      <c r="F11" s="275">
        <f t="shared" si="0"/>
        <v>4</v>
      </c>
      <c r="G11" s="276">
        <v>2.17</v>
      </c>
      <c r="H11" s="277">
        <f t="shared" si="1"/>
        <v>8.68</v>
      </c>
      <c r="I11" s="278">
        <f t="shared" si="2"/>
        <v>0.88800000000000001</v>
      </c>
      <c r="J11" s="279">
        <f t="shared" si="3"/>
        <v>7.7080000000000002</v>
      </c>
      <c r="K11" s="282"/>
    </row>
    <row r="12" spans="1:11" s="262" customFormat="1" ht="15">
      <c r="A12" s="261"/>
      <c r="B12" s="284"/>
      <c r="C12" s="284"/>
      <c r="D12" s="284"/>
      <c r="E12" s="284"/>
      <c r="F12" s="284"/>
      <c r="G12" s="285"/>
      <c r="H12" s="286"/>
      <c r="I12" s="287"/>
      <c r="J12" s="288"/>
    </row>
    <row r="13" spans="1:11" s="291" customFormat="1" ht="15">
      <c r="A13" s="261"/>
      <c r="B13" s="289" t="s">
        <v>473</v>
      </c>
      <c r="C13" s="284"/>
      <c r="D13" s="284"/>
      <c r="E13" s="284"/>
      <c r="F13" s="290"/>
      <c r="G13" s="285"/>
      <c r="H13" s="286"/>
      <c r="I13" s="287"/>
      <c r="K13" s="286"/>
    </row>
    <row r="14" spans="1:11" s="291" customFormat="1" ht="15">
      <c r="A14" s="261"/>
      <c r="B14" s="292" t="s">
        <v>754</v>
      </c>
      <c r="C14" s="284"/>
      <c r="D14" s="284"/>
      <c r="F14" s="293">
        <f>SUMIF($C$6:$C$11,12,$J$6:$J$11)</f>
        <v>116.417</v>
      </c>
      <c r="G14" s="294" t="s">
        <v>273</v>
      </c>
      <c r="I14" s="287"/>
      <c r="K14" s="295"/>
    </row>
    <row r="15" spans="1:11" s="291" customFormat="1" ht="15">
      <c r="A15" s="261"/>
      <c r="B15" s="292" t="s">
        <v>742</v>
      </c>
      <c r="C15" s="284"/>
      <c r="D15" s="284"/>
      <c r="F15" s="293">
        <f>SUMIF($C$6:$C$11,18,$J$6:$J$11)</f>
        <v>468.73100000000005</v>
      </c>
      <c r="G15" s="294" t="s">
        <v>273</v>
      </c>
      <c r="I15" s="287"/>
      <c r="K15" s="295"/>
    </row>
    <row r="16" spans="1:11" s="291" customFormat="1" ht="15">
      <c r="A16" s="261"/>
      <c r="B16" s="292"/>
      <c r="C16" s="284"/>
      <c r="D16" s="284"/>
      <c r="F16" s="293"/>
      <c r="G16" s="294"/>
      <c r="I16" s="287"/>
      <c r="K16" s="295"/>
    </row>
    <row r="17" spans="1:35" s="437" customFormat="1">
      <c r="D17" s="438" t="s">
        <v>788</v>
      </c>
      <c r="G17" s="439"/>
      <c r="I17" s="438" t="s">
        <v>789</v>
      </c>
      <c r="P17" s="438"/>
      <c r="Q17" s="438"/>
      <c r="R17" s="438"/>
      <c r="S17" s="438"/>
      <c r="T17" s="438"/>
      <c r="U17" s="438"/>
      <c r="V17" s="438"/>
      <c r="W17" s="438"/>
      <c r="X17" s="438"/>
      <c r="Y17" s="438"/>
      <c r="Z17" s="438"/>
      <c r="AA17" s="438"/>
    </row>
    <row r="18" spans="1:35" s="417" customFormat="1" ht="15">
      <c r="F18" s="436"/>
      <c r="G18" s="440"/>
      <c r="H18" s="436"/>
      <c r="J18" s="441"/>
      <c r="L18" s="441"/>
      <c r="M18" s="436"/>
      <c r="N18" s="436"/>
      <c r="AH18" s="441"/>
    </row>
    <row r="19" spans="1:35" s="417" customFormat="1" ht="15">
      <c r="F19" s="436"/>
      <c r="G19" s="436"/>
      <c r="H19" s="436"/>
      <c r="J19" s="441"/>
      <c r="L19" s="441"/>
      <c r="M19" s="436"/>
      <c r="N19" s="436"/>
    </row>
    <row r="20" spans="1:35" s="417" customFormat="1" ht="15">
      <c r="F20" s="436"/>
      <c r="G20" s="436"/>
      <c r="H20" s="436"/>
      <c r="M20" s="436"/>
      <c r="N20" s="436"/>
      <c r="AG20" s="433"/>
      <c r="AH20" s="433"/>
      <c r="AI20" s="433"/>
    </row>
    <row r="21" spans="1:35" s="417" customFormat="1" ht="15">
      <c r="F21" s="436"/>
      <c r="G21" s="436"/>
      <c r="H21" s="436"/>
      <c r="M21" s="436"/>
      <c r="N21" s="436"/>
    </row>
    <row r="22" spans="1:35" s="417" customFormat="1">
      <c r="D22" s="442" t="s">
        <v>792</v>
      </c>
      <c r="E22" s="436"/>
      <c r="F22" s="436"/>
      <c r="G22" s="436"/>
      <c r="H22" s="436"/>
      <c r="I22" s="443" t="s">
        <v>820</v>
      </c>
      <c r="M22" s="436"/>
      <c r="N22" s="436"/>
    </row>
    <row r="23" spans="1:35" s="262" customFormat="1">
      <c r="A23" s="261"/>
      <c r="B23" s="297"/>
      <c r="C23" s="296"/>
      <c r="D23" s="296"/>
      <c r="E23" s="296"/>
      <c r="F23" s="296"/>
      <c r="G23" s="296"/>
      <c r="H23" s="286"/>
      <c r="I23" s="260"/>
      <c r="J23" s="260"/>
    </row>
    <row r="24" spans="1:35" s="262" customFormat="1">
      <c r="A24" s="261"/>
      <c r="B24" s="297"/>
      <c r="C24" s="296"/>
      <c r="D24" s="296"/>
      <c r="E24" s="296"/>
      <c r="F24" s="296"/>
      <c r="G24" s="296"/>
      <c r="H24" s="286"/>
      <c r="I24" s="260"/>
      <c r="J24" s="259"/>
    </row>
    <row r="25" spans="1:35" s="262" customFormat="1">
      <c r="A25" s="261"/>
      <c r="D25" s="297"/>
      <c r="E25" s="298"/>
      <c r="G25" s="297"/>
      <c r="H25" s="286"/>
      <c r="I25" s="260"/>
      <c r="J25" s="259"/>
    </row>
    <row r="29" spans="1:35" s="262" customFormat="1" ht="15">
      <c r="A29" s="261"/>
      <c r="B29" s="284"/>
      <c r="C29" s="284"/>
      <c r="D29" s="284"/>
      <c r="E29" s="284"/>
      <c r="F29" s="284"/>
      <c r="G29" s="285"/>
      <c r="H29" s="286"/>
      <c r="I29" s="287"/>
      <c r="J29" s="288"/>
    </row>
    <row r="30" spans="1:35" s="262" customFormat="1" ht="15">
      <c r="A30" s="261"/>
      <c r="B30" s="284"/>
      <c r="C30" s="284"/>
      <c r="D30" s="284"/>
      <c r="E30" s="284"/>
      <c r="F30" s="284"/>
      <c r="G30" s="285"/>
      <c r="H30" s="286"/>
      <c r="I30" s="287"/>
      <c r="J30" s="288"/>
    </row>
    <row r="31" spans="1:35" s="262" customFormat="1" ht="15">
      <c r="A31" s="261"/>
      <c r="B31" s="284"/>
      <c r="C31" s="284"/>
      <c r="D31" s="284"/>
      <c r="E31" s="284"/>
      <c r="F31" s="284"/>
      <c r="G31" s="285"/>
      <c r="H31" s="286"/>
      <c r="I31" s="287"/>
      <c r="J31" s="288"/>
    </row>
    <row r="32" spans="1:35"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sheetData>
  <mergeCells count="8">
    <mergeCell ref="A6:A11"/>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sheetPr>
    <tabColor rgb="FFFFFF00"/>
  </sheetPr>
  <dimension ref="A1:AI45"/>
  <sheetViews>
    <sheetView topLeftCell="A13"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5703125" style="399" hidden="1" customWidth="1"/>
    <col min="6" max="6" width="7.85546875" style="268" customWidth="1"/>
    <col min="7" max="7" width="10.5703125" style="268" customWidth="1"/>
    <col min="8" max="8" width="10.5703125" style="399" hidden="1" customWidth="1"/>
    <col min="9" max="9" width="11" style="268" customWidth="1"/>
    <col min="10" max="10" width="10.85546875" style="269" customWidth="1"/>
    <col min="11" max="11" width="12.140625" style="269" customWidth="1"/>
    <col min="12" max="12" width="11.85546875" style="299" customWidth="1"/>
    <col min="13" max="13" width="24.7109375" style="269" customWidth="1"/>
    <col min="14" max="14" width="13.5703125" style="269" customWidth="1"/>
    <col min="15" max="15" width="16.28515625" style="269" bestFit="1" customWidth="1"/>
    <col min="16" max="16" width="15" style="269" bestFit="1" customWidth="1"/>
    <col min="17" max="16384" width="9.140625" style="269"/>
  </cols>
  <sheetData>
    <row r="1" spans="1:13" s="266" customFormat="1" ht="22.5">
      <c r="A1" s="263" t="s">
        <v>791</v>
      </c>
      <c r="B1" s="264"/>
      <c r="C1" s="264"/>
      <c r="D1" s="264"/>
      <c r="E1" s="398"/>
      <c r="F1" s="264"/>
      <c r="G1" s="264"/>
      <c r="H1" s="398"/>
      <c r="I1" s="264"/>
      <c r="J1" s="264"/>
      <c r="K1" s="264"/>
      <c r="L1" s="265"/>
    </row>
    <row r="2" spans="1:13" s="266" customFormat="1" ht="20.25">
      <c r="A2" s="264"/>
      <c r="B2" s="264"/>
      <c r="C2" s="264"/>
      <c r="D2" s="264"/>
      <c r="E2" s="398"/>
      <c r="F2" s="264"/>
      <c r="G2" s="392" t="s">
        <v>740</v>
      </c>
      <c r="H2" s="405"/>
      <c r="I2" s="264"/>
      <c r="J2" s="264"/>
      <c r="K2" s="264"/>
      <c r="L2" s="265"/>
    </row>
    <row r="3" spans="1:13" ht="16.5">
      <c r="A3" s="267"/>
      <c r="K3" s="749"/>
      <c r="L3" s="749"/>
    </row>
    <row r="4" spans="1:13" s="273" customFormat="1" ht="18.75" customHeight="1">
      <c r="A4" s="750" t="s">
        <v>462</v>
      </c>
      <c r="B4" s="750" t="s">
        <v>463</v>
      </c>
      <c r="C4" s="750" t="s">
        <v>464</v>
      </c>
      <c r="D4" s="753" t="s">
        <v>465</v>
      </c>
      <c r="E4" s="400"/>
      <c r="F4" s="270" t="s">
        <v>466</v>
      </c>
      <c r="G4" s="271"/>
      <c r="H4" s="406"/>
      <c r="I4" s="272" t="s">
        <v>467</v>
      </c>
      <c r="J4" s="272"/>
      <c r="K4" s="753" t="s">
        <v>468</v>
      </c>
      <c r="L4" s="750" t="s">
        <v>469</v>
      </c>
    </row>
    <row r="5" spans="1:13" s="273" customFormat="1" ht="24" customHeight="1">
      <c r="A5" s="751"/>
      <c r="B5" s="752"/>
      <c r="C5" s="751"/>
      <c r="D5" s="754"/>
      <c r="E5" s="401"/>
      <c r="F5" s="393" t="s">
        <v>470</v>
      </c>
      <c r="G5" s="393" t="s">
        <v>471</v>
      </c>
      <c r="H5" s="401"/>
      <c r="I5" s="393" t="s">
        <v>472</v>
      </c>
      <c r="J5" s="393" t="s">
        <v>471</v>
      </c>
      <c r="K5" s="754"/>
      <c r="L5" s="751"/>
    </row>
    <row r="6" spans="1:13" s="273" customFormat="1" ht="15">
      <c r="A6" s="748" t="s">
        <v>762</v>
      </c>
      <c r="B6" s="301">
        <v>1</v>
      </c>
      <c r="C6" s="257">
        <v>18</v>
      </c>
      <c r="D6" s="275">
        <v>1</v>
      </c>
      <c r="E6" s="397">
        <f>17.66/0.2+1</f>
        <v>89.3</v>
      </c>
      <c r="F6" s="275">
        <v>90</v>
      </c>
      <c r="G6" s="275">
        <f t="shared" ref="G6:G25" si="0">D6*F6</f>
        <v>90</v>
      </c>
      <c r="H6" s="397">
        <v>4.8</v>
      </c>
      <c r="I6" s="276">
        <v>4.8</v>
      </c>
      <c r="J6" s="277">
        <f t="shared" ref="J6:J25" si="1">ROUND(G6*I6,3)</f>
        <v>432</v>
      </c>
      <c r="K6" s="278">
        <f t="shared" ref="K6:K25" si="2">ROUND(3.1416*(C6/1000)^2/4*7850*1,3)</f>
        <v>1.998</v>
      </c>
      <c r="L6" s="279">
        <f t="shared" ref="L6:L25" si="3">ROUND(J6*K6,3)</f>
        <v>863.13599999999997</v>
      </c>
    </row>
    <row r="7" spans="1:13" s="273" customFormat="1" ht="15">
      <c r="A7" s="748"/>
      <c r="B7" s="301">
        <v>2</v>
      </c>
      <c r="C7" s="257">
        <v>18</v>
      </c>
      <c r="D7" s="275">
        <f>+D6</f>
        <v>1</v>
      </c>
      <c r="E7" s="397">
        <f>1.63/0.2</f>
        <v>8.1499999999999986</v>
      </c>
      <c r="F7" s="275">
        <v>8</v>
      </c>
      <c r="G7" s="275">
        <f t="shared" si="0"/>
        <v>8</v>
      </c>
      <c r="H7" s="397">
        <f>+(4.6+2)/2</f>
        <v>3.3</v>
      </c>
      <c r="I7" s="276">
        <v>3.15</v>
      </c>
      <c r="J7" s="277">
        <f t="shared" si="1"/>
        <v>25.2</v>
      </c>
      <c r="K7" s="278">
        <f t="shared" si="2"/>
        <v>1.998</v>
      </c>
      <c r="L7" s="279">
        <f t="shared" si="3"/>
        <v>50.35</v>
      </c>
      <c r="M7" s="280"/>
    </row>
    <row r="8" spans="1:13" s="281" customFormat="1" ht="15">
      <c r="A8" s="748"/>
      <c r="B8" s="301">
        <v>3</v>
      </c>
      <c r="C8" s="257">
        <v>18</v>
      </c>
      <c r="D8" s="275">
        <f t="shared" ref="D8:D25" si="4">+D7</f>
        <v>1</v>
      </c>
      <c r="E8" s="397">
        <f>1.5/0.2+1</f>
        <v>8.5</v>
      </c>
      <c r="F8" s="275">
        <v>9</v>
      </c>
      <c r="G8" s="275">
        <f t="shared" si="0"/>
        <v>9</v>
      </c>
      <c r="H8" s="397">
        <v>9.7100000000000009</v>
      </c>
      <c r="I8" s="276">
        <v>9.7100000000000009</v>
      </c>
      <c r="J8" s="277">
        <f t="shared" si="1"/>
        <v>87.39</v>
      </c>
      <c r="K8" s="278">
        <f t="shared" si="2"/>
        <v>1.998</v>
      </c>
      <c r="L8" s="279">
        <f t="shared" si="3"/>
        <v>174.60499999999999</v>
      </c>
    </row>
    <row r="9" spans="1:13" s="273" customFormat="1" ht="15">
      <c r="A9" s="748"/>
      <c r="B9" s="301">
        <v>4</v>
      </c>
      <c r="C9" s="257">
        <v>12</v>
      </c>
      <c r="D9" s="275">
        <f t="shared" si="4"/>
        <v>1</v>
      </c>
      <c r="E9" s="397">
        <f>9.81/0.2+1+4.9/0.2+1</f>
        <v>75.55</v>
      </c>
      <c r="F9" s="275">
        <v>75</v>
      </c>
      <c r="G9" s="275">
        <f t="shared" si="0"/>
        <v>75</v>
      </c>
      <c r="H9" s="397"/>
      <c r="I9" s="276">
        <v>3.75</v>
      </c>
      <c r="J9" s="277">
        <f t="shared" si="1"/>
        <v>281.25</v>
      </c>
      <c r="K9" s="278">
        <f t="shared" si="2"/>
        <v>0.88800000000000001</v>
      </c>
      <c r="L9" s="279">
        <f t="shared" si="3"/>
        <v>249.75</v>
      </c>
    </row>
    <row r="10" spans="1:13" s="273" customFormat="1" ht="15">
      <c r="A10" s="748"/>
      <c r="B10" s="301">
        <v>5</v>
      </c>
      <c r="C10" s="257">
        <v>12</v>
      </c>
      <c r="D10" s="275">
        <f t="shared" si="4"/>
        <v>1</v>
      </c>
      <c r="E10" s="397">
        <f>4.9/0.2+1+4</f>
        <v>29.5</v>
      </c>
      <c r="F10" s="275">
        <v>29</v>
      </c>
      <c r="G10" s="275">
        <f t="shared" si="0"/>
        <v>29</v>
      </c>
      <c r="H10" s="397">
        <f>17.6+1.63</f>
        <v>19.23</v>
      </c>
      <c r="I10" s="276">
        <v>21.25</v>
      </c>
      <c r="J10" s="277">
        <f t="shared" si="1"/>
        <v>616.25</v>
      </c>
      <c r="K10" s="278">
        <f t="shared" si="2"/>
        <v>0.88800000000000001</v>
      </c>
      <c r="L10" s="279">
        <f t="shared" si="3"/>
        <v>547.23</v>
      </c>
      <c r="M10" s="273" t="s">
        <v>771</v>
      </c>
    </row>
    <row r="11" spans="1:13" s="273" customFormat="1" ht="15">
      <c r="A11" s="748"/>
      <c r="B11" s="301">
        <v>6</v>
      </c>
      <c r="C11" s="257">
        <v>12</v>
      </c>
      <c r="D11" s="275">
        <f t="shared" si="4"/>
        <v>1</v>
      </c>
      <c r="E11" s="397">
        <f>9.81/0.2+1</f>
        <v>50.05</v>
      </c>
      <c r="F11" s="275">
        <v>50</v>
      </c>
      <c r="G11" s="275">
        <f t="shared" si="0"/>
        <v>50</v>
      </c>
      <c r="H11" s="397"/>
      <c r="I11" s="276">
        <v>1.7</v>
      </c>
      <c r="J11" s="277">
        <f t="shared" si="1"/>
        <v>85</v>
      </c>
      <c r="K11" s="278">
        <f t="shared" si="2"/>
        <v>0.88800000000000001</v>
      </c>
      <c r="L11" s="279">
        <f t="shared" si="3"/>
        <v>75.48</v>
      </c>
      <c r="M11" s="282"/>
    </row>
    <row r="12" spans="1:13" s="273" customFormat="1" ht="15">
      <c r="A12" s="748"/>
      <c r="B12" s="301">
        <v>7</v>
      </c>
      <c r="C12" s="257">
        <v>12</v>
      </c>
      <c r="D12" s="275">
        <f t="shared" si="4"/>
        <v>1</v>
      </c>
      <c r="E12" s="397">
        <f>+(17.66+1.63)/0.2+4</f>
        <v>100.44999999999999</v>
      </c>
      <c r="F12" s="275">
        <v>102</v>
      </c>
      <c r="G12" s="275">
        <f t="shared" si="0"/>
        <v>102</v>
      </c>
      <c r="H12" s="397"/>
      <c r="I12" s="276">
        <v>4.8</v>
      </c>
      <c r="J12" s="277">
        <f t="shared" si="1"/>
        <v>489.6</v>
      </c>
      <c r="K12" s="278">
        <f t="shared" si="2"/>
        <v>0.88800000000000001</v>
      </c>
      <c r="L12" s="279">
        <f t="shared" si="3"/>
        <v>434.76499999999999</v>
      </c>
    </row>
    <row r="13" spans="1:13" s="273" customFormat="1" ht="15">
      <c r="A13" s="748"/>
      <c r="B13" s="301" t="s">
        <v>763</v>
      </c>
      <c r="C13" s="257">
        <v>12</v>
      </c>
      <c r="D13" s="275">
        <f t="shared" si="4"/>
        <v>1</v>
      </c>
      <c r="E13" s="397">
        <f>4.79/0.2+1</f>
        <v>24.95</v>
      </c>
      <c r="F13" s="450">
        <v>18</v>
      </c>
      <c r="G13" s="450">
        <f t="shared" si="0"/>
        <v>18</v>
      </c>
      <c r="H13" s="397"/>
      <c r="I13" s="276">
        <v>1.2</v>
      </c>
      <c r="J13" s="277">
        <f t="shared" si="1"/>
        <v>21.6</v>
      </c>
      <c r="K13" s="278">
        <f t="shared" si="2"/>
        <v>0.88800000000000001</v>
      </c>
      <c r="L13" s="279">
        <f t="shared" si="3"/>
        <v>19.181000000000001</v>
      </c>
      <c r="M13" s="273" t="s">
        <v>770</v>
      </c>
    </row>
    <row r="14" spans="1:13" s="273" customFormat="1" ht="15">
      <c r="A14" s="748"/>
      <c r="B14" s="301" t="s">
        <v>764</v>
      </c>
      <c r="C14" s="257">
        <v>12</v>
      </c>
      <c r="D14" s="275">
        <f t="shared" si="4"/>
        <v>1</v>
      </c>
      <c r="E14" s="397">
        <v>3</v>
      </c>
      <c r="F14" s="275">
        <v>3</v>
      </c>
      <c r="G14" s="275">
        <f t="shared" si="0"/>
        <v>3</v>
      </c>
      <c r="H14" s="397"/>
      <c r="I14" s="276">
        <v>4.83</v>
      </c>
      <c r="J14" s="451">
        <f t="shared" si="1"/>
        <v>14.49</v>
      </c>
      <c r="K14" s="278">
        <f t="shared" si="2"/>
        <v>0.88800000000000001</v>
      </c>
      <c r="L14" s="279">
        <f t="shared" si="3"/>
        <v>12.867000000000001</v>
      </c>
      <c r="M14" s="273" t="s">
        <v>770</v>
      </c>
    </row>
    <row r="15" spans="1:13" s="273" customFormat="1" ht="15">
      <c r="A15" s="748"/>
      <c r="B15" s="301" t="s">
        <v>765</v>
      </c>
      <c r="C15" s="257">
        <v>12</v>
      </c>
      <c r="D15" s="275">
        <f t="shared" si="4"/>
        <v>1</v>
      </c>
      <c r="E15" s="397">
        <v>3</v>
      </c>
      <c r="F15" s="275">
        <v>3</v>
      </c>
      <c r="G15" s="275">
        <f t="shared" si="0"/>
        <v>3</v>
      </c>
      <c r="H15" s="397"/>
      <c r="I15" s="276">
        <v>3.95</v>
      </c>
      <c r="J15" s="277">
        <f t="shared" si="1"/>
        <v>11.85</v>
      </c>
      <c r="K15" s="278">
        <f t="shared" si="2"/>
        <v>0.88800000000000001</v>
      </c>
      <c r="L15" s="279">
        <f t="shared" si="3"/>
        <v>10.523</v>
      </c>
      <c r="M15" s="273" t="s">
        <v>770</v>
      </c>
    </row>
    <row r="16" spans="1:13" s="273" customFormat="1" ht="15">
      <c r="A16" s="748"/>
      <c r="B16" s="301">
        <v>8</v>
      </c>
      <c r="C16" s="257">
        <v>12</v>
      </c>
      <c r="D16" s="275">
        <f t="shared" si="4"/>
        <v>1</v>
      </c>
      <c r="E16" s="397">
        <f>1.63/0.2</f>
        <v>8.1499999999999986</v>
      </c>
      <c r="F16" s="275">
        <v>8</v>
      </c>
      <c r="G16" s="275">
        <f t="shared" si="0"/>
        <v>8</v>
      </c>
      <c r="H16" s="397"/>
      <c r="I16" s="276">
        <v>3.1</v>
      </c>
      <c r="J16" s="277">
        <f t="shared" si="1"/>
        <v>24.8</v>
      </c>
      <c r="K16" s="278">
        <f t="shared" si="2"/>
        <v>0.88800000000000001</v>
      </c>
      <c r="L16" s="279">
        <f t="shared" si="3"/>
        <v>22.021999999999998</v>
      </c>
    </row>
    <row r="17" spans="1:34" s="273" customFormat="1" ht="15">
      <c r="A17" s="748"/>
      <c r="B17" s="301">
        <v>9</v>
      </c>
      <c r="C17" s="257">
        <v>12</v>
      </c>
      <c r="D17" s="275">
        <f t="shared" si="4"/>
        <v>1</v>
      </c>
      <c r="E17" s="397">
        <v>13</v>
      </c>
      <c r="F17" s="275">
        <v>13</v>
      </c>
      <c r="G17" s="275">
        <f t="shared" si="0"/>
        <v>13</v>
      </c>
      <c r="H17" s="397"/>
      <c r="I17" s="276">
        <v>9.7100000000000009</v>
      </c>
      <c r="J17" s="277">
        <f t="shared" si="1"/>
        <v>126.23</v>
      </c>
      <c r="K17" s="278">
        <f t="shared" si="2"/>
        <v>0.88800000000000001</v>
      </c>
      <c r="L17" s="279">
        <f t="shared" si="3"/>
        <v>112.092</v>
      </c>
    </row>
    <row r="18" spans="1:34" s="273" customFormat="1" ht="15">
      <c r="A18" s="748"/>
      <c r="B18" s="301">
        <v>10</v>
      </c>
      <c r="C18" s="257">
        <v>12</v>
      </c>
      <c r="D18" s="275">
        <f t="shared" si="4"/>
        <v>1</v>
      </c>
      <c r="E18" s="397">
        <f>3.5/0.2+1</f>
        <v>18.5</v>
      </c>
      <c r="F18" s="275">
        <v>19</v>
      </c>
      <c r="G18" s="275">
        <f t="shared" si="0"/>
        <v>19</v>
      </c>
      <c r="H18" s="397"/>
      <c r="I18" s="276">
        <v>13.68</v>
      </c>
      <c r="J18" s="277">
        <f t="shared" si="1"/>
        <v>259.92</v>
      </c>
      <c r="K18" s="278">
        <f t="shared" si="2"/>
        <v>0.88800000000000001</v>
      </c>
      <c r="L18" s="279">
        <f t="shared" si="3"/>
        <v>230.809</v>
      </c>
    </row>
    <row r="19" spans="1:34" s="273" customFormat="1" ht="15">
      <c r="A19" s="748"/>
      <c r="B19" s="301" t="s">
        <v>766</v>
      </c>
      <c r="C19" s="257">
        <v>12</v>
      </c>
      <c r="D19" s="275">
        <f t="shared" si="4"/>
        <v>1</v>
      </c>
      <c r="E19" s="397">
        <f>3.3/0.2</f>
        <v>16.499999999999996</v>
      </c>
      <c r="F19" s="275">
        <v>15</v>
      </c>
      <c r="G19" s="275">
        <f t="shared" si="0"/>
        <v>15</v>
      </c>
      <c r="H19" s="397"/>
      <c r="I19" s="276">
        <v>1.92</v>
      </c>
      <c r="J19" s="277">
        <f t="shared" si="1"/>
        <v>28.8</v>
      </c>
      <c r="K19" s="278">
        <f t="shared" si="2"/>
        <v>0.88800000000000001</v>
      </c>
      <c r="L19" s="279">
        <f t="shared" si="3"/>
        <v>25.574000000000002</v>
      </c>
    </row>
    <row r="20" spans="1:34" s="273" customFormat="1" ht="15">
      <c r="A20" s="748"/>
      <c r="B20" s="301">
        <v>11</v>
      </c>
      <c r="C20" s="257">
        <v>12</v>
      </c>
      <c r="D20" s="275">
        <f t="shared" si="4"/>
        <v>1</v>
      </c>
      <c r="E20" s="397">
        <f>3.5/0.2+1</f>
        <v>18.5</v>
      </c>
      <c r="F20" s="275">
        <v>19</v>
      </c>
      <c r="G20" s="275">
        <f t="shared" si="0"/>
        <v>19</v>
      </c>
      <c r="H20" s="397"/>
      <c r="I20" s="276">
        <v>1.6</v>
      </c>
      <c r="J20" s="277">
        <f t="shared" si="1"/>
        <v>30.4</v>
      </c>
      <c r="K20" s="278">
        <f t="shared" si="2"/>
        <v>0.88800000000000001</v>
      </c>
      <c r="L20" s="279">
        <f t="shared" si="3"/>
        <v>26.995000000000001</v>
      </c>
    </row>
    <row r="21" spans="1:34" s="273" customFormat="1" ht="15">
      <c r="A21" s="748"/>
      <c r="B21" s="301">
        <v>12</v>
      </c>
      <c r="C21" s="257">
        <v>12</v>
      </c>
      <c r="D21" s="275">
        <f t="shared" si="4"/>
        <v>1</v>
      </c>
      <c r="E21" s="397">
        <f>3.5/0.2+1</f>
        <v>18.5</v>
      </c>
      <c r="F21" s="275">
        <v>19</v>
      </c>
      <c r="G21" s="275">
        <f t="shared" si="0"/>
        <v>19</v>
      </c>
      <c r="H21" s="397"/>
      <c r="I21" s="276">
        <v>1.06</v>
      </c>
      <c r="J21" s="277">
        <f t="shared" si="1"/>
        <v>20.14</v>
      </c>
      <c r="K21" s="278">
        <f t="shared" si="2"/>
        <v>0.88800000000000001</v>
      </c>
      <c r="L21" s="279">
        <f t="shared" si="3"/>
        <v>17.884</v>
      </c>
    </row>
    <row r="22" spans="1:34" s="273" customFormat="1" ht="15">
      <c r="A22" s="748"/>
      <c r="B22" s="301" t="s">
        <v>767</v>
      </c>
      <c r="C22" s="257">
        <v>12</v>
      </c>
      <c r="D22" s="275">
        <f t="shared" si="4"/>
        <v>1</v>
      </c>
      <c r="E22" s="397">
        <f>3.5/0.2+1</f>
        <v>18.5</v>
      </c>
      <c r="F22" s="275">
        <v>19</v>
      </c>
      <c r="G22" s="275">
        <f t="shared" si="0"/>
        <v>19</v>
      </c>
      <c r="H22" s="397"/>
      <c r="I22" s="276">
        <v>3.17</v>
      </c>
      <c r="J22" s="277">
        <f t="shared" si="1"/>
        <v>60.23</v>
      </c>
      <c r="K22" s="278">
        <f t="shared" si="2"/>
        <v>0.88800000000000001</v>
      </c>
      <c r="L22" s="279">
        <f t="shared" si="3"/>
        <v>53.484000000000002</v>
      </c>
    </row>
    <row r="23" spans="1:34" s="273" customFormat="1" ht="15">
      <c r="A23" s="748"/>
      <c r="B23" s="301" t="s">
        <v>768</v>
      </c>
      <c r="C23" s="257">
        <v>12</v>
      </c>
      <c r="D23" s="275">
        <f t="shared" si="4"/>
        <v>1</v>
      </c>
      <c r="E23" s="397">
        <f>3.5/0.2+1</f>
        <v>18.5</v>
      </c>
      <c r="F23" s="275">
        <v>19</v>
      </c>
      <c r="G23" s="275">
        <f t="shared" si="0"/>
        <v>19</v>
      </c>
      <c r="H23" s="397"/>
      <c r="I23" s="276">
        <v>2.41</v>
      </c>
      <c r="J23" s="277">
        <f t="shared" si="1"/>
        <v>45.79</v>
      </c>
      <c r="K23" s="278">
        <f t="shared" si="2"/>
        <v>0.88800000000000001</v>
      </c>
      <c r="L23" s="279">
        <f t="shared" si="3"/>
        <v>40.661999999999999</v>
      </c>
    </row>
    <row r="24" spans="1:34" s="273" customFormat="1" ht="15">
      <c r="A24" s="748"/>
      <c r="B24" s="301">
        <v>13</v>
      </c>
      <c r="C24" s="257">
        <v>12</v>
      </c>
      <c r="D24" s="275">
        <f t="shared" si="4"/>
        <v>1</v>
      </c>
      <c r="E24" s="397">
        <f>3.5/0.2+1</f>
        <v>18.5</v>
      </c>
      <c r="F24" s="275">
        <v>19</v>
      </c>
      <c r="G24" s="275">
        <f t="shared" si="0"/>
        <v>19</v>
      </c>
      <c r="H24" s="397"/>
      <c r="I24" s="276">
        <v>4.9249999999999998</v>
      </c>
      <c r="J24" s="277">
        <f t="shared" si="1"/>
        <v>93.575000000000003</v>
      </c>
      <c r="K24" s="278">
        <f t="shared" si="2"/>
        <v>0.88800000000000001</v>
      </c>
      <c r="L24" s="279">
        <f t="shared" si="3"/>
        <v>83.094999999999999</v>
      </c>
    </row>
    <row r="25" spans="1:34" s="273" customFormat="1" ht="15">
      <c r="A25" s="748"/>
      <c r="B25" s="301" t="s">
        <v>769</v>
      </c>
      <c r="C25" s="257">
        <v>12</v>
      </c>
      <c r="D25" s="275">
        <f t="shared" si="4"/>
        <v>1</v>
      </c>
      <c r="E25" s="397">
        <f>3/0.2</f>
        <v>15</v>
      </c>
      <c r="F25" s="275">
        <v>15</v>
      </c>
      <c r="G25" s="275">
        <f t="shared" si="0"/>
        <v>15</v>
      </c>
      <c r="H25" s="397"/>
      <c r="I25" s="276">
        <v>1.92</v>
      </c>
      <c r="J25" s="277">
        <f t="shared" si="1"/>
        <v>28.8</v>
      </c>
      <c r="K25" s="278">
        <f t="shared" si="2"/>
        <v>0.88800000000000001</v>
      </c>
      <c r="L25" s="279">
        <f t="shared" si="3"/>
        <v>25.574000000000002</v>
      </c>
    </row>
    <row r="26" spans="1:34" s="262" customFormat="1" ht="15">
      <c r="A26" s="261"/>
      <c r="B26" s="284"/>
      <c r="C26" s="284"/>
      <c r="D26" s="284"/>
      <c r="E26" s="402"/>
      <c r="F26" s="284"/>
      <c r="G26" s="284"/>
      <c r="H26" s="402"/>
      <c r="I26" s="285"/>
      <c r="J26" s="286"/>
      <c r="K26" s="287"/>
      <c r="L26" s="288"/>
    </row>
    <row r="27" spans="1:34" s="291" customFormat="1" ht="15">
      <c r="A27" s="261"/>
      <c r="B27" s="289" t="s">
        <v>473</v>
      </c>
      <c r="C27" s="284"/>
      <c r="D27" s="284"/>
      <c r="E27" s="402"/>
      <c r="F27" s="284"/>
      <c r="G27" s="290"/>
      <c r="H27" s="407"/>
      <c r="I27" s="285"/>
      <c r="J27" s="286"/>
      <c r="K27" s="287"/>
      <c r="M27" s="286"/>
    </row>
    <row r="28" spans="1:34" s="291" customFormat="1" ht="15">
      <c r="A28" s="261"/>
      <c r="B28" s="292" t="s">
        <v>754</v>
      </c>
      <c r="C28" s="284"/>
      <c r="D28" s="284"/>
      <c r="E28" s="402"/>
      <c r="G28" s="293">
        <f>SUMIF($C$6:$C$25,12,$L$6:$L$25)</f>
        <v>1987.9869999999999</v>
      </c>
      <c r="H28" s="408"/>
      <c r="I28" s="294" t="s">
        <v>273</v>
      </c>
      <c r="K28" s="287"/>
      <c r="M28" s="295"/>
    </row>
    <row r="29" spans="1:34" s="291" customFormat="1" ht="15">
      <c r="A29" s="261"/>
      <c r="B29" s="292" t="s">
        <v>742</v>
      </c>
      <c r="C29" s="284"/>
      <c r="D29" s="284"/>
      <c r="E29" s="402"/>
      <c r="G29" s="293">
        <f>SUMIF($C$6:$C$25,18,$L$6:$L$25)</f>
        <v>1088.0909999999999</v>
      </c>
      <c r="H29" s="408"/>
      <c r="I29" s="294" t="s">
        <v>273</v>
      </c>
      <c r="K29" s="287"/>
      <c r="M29" s="295"/>
    </row>
    <row r="30" spans="1:34" s="291" customFormat="1" ht="15">
      <c r="A30" s="261"/>
      <c r="B30" s="292"/>
      <c r="C30" s="284"/>
      <c r="D30" s="284"/>
      <c r="E30" s="402"/>
      <c r="G30" s="293"/>
      <c r="H30" s="408"/>
      <c r="I30" s="294"/>
      <c r="K30" s="287"/>
      <c r="M30" s="295"/>
    </row>
    <row r="31" spans="1:34" s="437" customFormat="1">
      <c r="D31" s="438" t="s">
        <v>788</v>
      </c>
      <c r="G31" s="439"/>
      <c r="K31" s="438" t="s">
        <v>789</v>
      </c>
      <c r="P31" s="438"/>
      <c r="Q31" s="438"/>
      <c r="R31" s="438"/>
      <c r="S31" s="438"/>
      <c r="T31" s="438"/>
      <c r="U31" s="438"/>
      <c r="V31" s="438"/>
      <c r="W31" s="438"/>
      <c r="X31" s="438"/>
      <c r="Y31" s="438"/>
      <c r="Z31" s="438"/>
      <c r="AA31" s="438"/>
    </row>
    <row r="32" spans="1:34" s="417" customFormat="1" ht="15">
      <c r="F32" s="436"/>
      <c r="G32" s="440"/>
      <c r="H32" s="436"/>
      <c r="J32" s="441"/>
      <c r="L32" s="441"/>
      <c r="M32" s="436"/>
      <c r="N32" s="436"/>
      <c r="AH32" s="441"/>
    </row>
    <row r="33" spans="1:35" s="417" customFormat="1" ht="15">
      <c r="F33" s="436"/>
      <c r="G33" s="436"/>
      <c r="H33" s="436"/>
      <c r="J33" s="441"/>
      <c r="L33" s="441"/>
      <c r="M33" s="436"/>
      <c r="N33" s="436"/>
    </row>
    <row r="34" spans="1:35" s="417" customFormat="1" ht="15">
      <c r="F34" s="436"/>
      <c r="G34" s="436"/>
      <c r="H34" s="436"/>
      <c r="M34" s="436"/>
      <c r="N34" s="436"/>
      <c r="AG34" s="433"/>
      <c r="AH34" s="433"/>
      <c r="AI34" s="433"/>
    </row>
    <row r="35" spans="1:35" s="417" customFormat="1" ht="15">
      <c r="F35" s="436"/>
      <c r="G35" s="436"/>
      <c r="H35" s="436"/>
      <c r="M35" s="436"/>
      <c r="N35" s="436"/>
    </row>
    <row r="36" spans="1:35" s="417" customFormat="1">
      <c r="D36" s="442" t="s">
        <v>792</v>
      </c>
      <c r="E36" s="436"/>
      <c r="F36" s="436"/>
      <c r="G36" s="436"/>
      <c r="H36" s="436"/>
      <c r="K36" s="443" t="s">
        <v>820</v>
      </c>
      <c r="M36" s="436"/>
      <c r="N36" s="436"/>
    </row>
    <row r="40" spans="1:35" s="262" customFormat="1" ht="15">
      <c r="A40" s="261"/>
      <c r="B40" s="284"/>
      <c r="C40" s="284"/>
      <c r="D40" s="284"/>
      <c r="E40" s="402"/>
      <c r="F40" s="284"/>
      <c r="G40" s="284"/>
      <c r="H40" s="402"/>
      <c r="I40" s="285"/>
      <c r="J40" s="286"/>
      <c r="K40" s="287"/>
      <c r="L40" s="288"/>
    </row>
    <row r="41" spans="1:35" s="262" customFormat="1" ht="15">
      <c r="A41" s="261"/>
      <c r="B41" s="284"/>
      <c r="C41" s="284"/>
      <c r="D41" s="284"/>
      <c r="E41" s="402"/>
      <c r="F41" s="284"/>
      <c r="G41" s="284"/>
      <c r="H41" s="402"/>
      <c r="I41" s="285"/>
      <c r="J41" s="286"/>
      <c r="K41" s="287"/>
      <c r="L41" s="288"/>
    </row>
    <row r="42" spans="1:35" s="262" customFormat="1" ht="15">
      <c r="A42" s="261"/>
      <c r="B42" s="284"/>
      <c r="C42" s="284"/>
      <c r="D42" s="284"/>
      <c r="E42" s="402"/>
      <c r="F42" s="284"/>
      <c r="G42" s="284"/>
      <c r="H42" s="402"/>
      <c r="I42" s="285"/>
      <c r="J42" s="286"/>
      <c r="K42" s="287"/>
      <c r="L42" s="288"/>
    </row>
    <row r="43" spans="1:35" s="262" customFormat="1" ht="15">
      <c r="A43" s="261"/>
      <c r="B43" s="284"/>
      <c r="C43" s="284"/>
      <c r="D43" s="284"/>
      <c r="E43" s="402"/>
      <c r="F43" s="284"/>
      <c r="G43" s="284"/>
      <c r="H43" s="402"/>
      <c r="I43" s="285"/>
      <c r="J43" s="286"/>
      <c r="K43" s="287"/>
      <c r="L43" s="288"/>
    </row>
    <row r="44" spans="1:35" s="262" customFormat="1" ht="15">
      <c r="A44" s="261"/>
      <c r="B44" s="284"/>
      <c r="C44" s="284"/>
      <c r="D44" s="284"/>
      <c r="E44" s="402"/>
      <c r="F44" s="284"/>
      <c r="G44" s="284"/>
      <c r="H44" s="402"/>
      <c r="I44" s="285"/>
      <c r="J44" s="286"/>
      <c r="K44" s="287"/>
      <c r="L44" s="288"/>
    </row>
    <row r="45" spans="1:35" s="262" customFormat="1" ht="15">
      <c r="A45" s="261"/>
      <c r="B45" s="284"/>
      <c r="C45" s="284"/>
      <c r="D45" s="284"/>
      <c r="E45" s="402"/>
      <c r="F45" s="284"/>
      <c r="G45" s="284"/>
      <c r="H45" s="402"/>
      <c r="I45" s="285"/>
      <c r="J45" s="286"/>
      <c r="K45" s="287"/>
      <c r="L45" s="288"/>
    </row>
  </sheetData>
  <mergeCells count="8">
    <mergeCell ref="A6:A25"/>
    <mergeCell ref="K3:L3"/>
    <mergeCell ref="A4:A5"/>
    <mergeCell ref="B4:B5"/>
    <mergeCell ref="C4:C5"/>
    <mergeCell ref="D4:D5"/>
    <mergeCell ref="K4:K5"/>
    <mergeCell ref="L4:L5"/>
  </mergeCells>
  <pageMargins left="0.7" right="0.16"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sheetPr>
    <tabColor rgb="FFFF0000"/>
  </sheetPr>
  <dimension ref="A1:AA121"/>
  <sheetViews>
    <sheetView showZeros="0" view="pageBreakPreview" topLeftCell="A13" zoomScaleSheetLayoutView="100" workbookViewId="0">
      <pane ySplit="2760" topLeftCell="A114" activePane="bottomLeft"/>
      <selection activeCell="H8" sqref="H1:H1048576"/>
      <selection pane="bottomLeft" activeCell="G121" sqref="G121"/>
    </sheetView>
  </sheetViews>
  <sheetFormatPr defaultRowHeight="15" outlineLevelCol="1"/>
  <cols>
    <col min="1" max="1" width="3.7109375" style="586" customWidth="1"/>
    <col min="2" max="2" width="33" style="586" customWidth="1"/>
    <col min="3" max="3" width="6.28515625" style="587" customWidth="1"/>
    <col min="4" max="4" width="9.42578125" style="588" customWidth="1"/>
    <col min="5" max="5" width="10.85546875" style="589" customWidth="1"/>
    <col min="6" max="6" width="12.5703125" style="586" customWidth="1"/>
    <col min="7" max="7" width="13.42578125" style="586" customWidth="1"/>
    <col min="8" max="8" width="18.28515625" style="586" hidden="1" customWidth="1" outlineLevel="1"/>
    <col min="9" max="9" width="15.140625" style="586" customWidth="1" collapsed="1"/>
    <col min="10" max="10" width="16.7109375" style="586" customWidth="1"/>
    <col min="11" max="11" width="14.140625" style="586" customWidth="1"/>
    <col min="12" max="12" width="8.140625" style="586" customWidth="1"/>
    <col min="13" max="13" width="19" style="586" customWidth="1"/>
    <col min="14" max="15" width="16.85546875" style="586" bestFit="1" customWidth="1"/>
    <col min="16" max="16" width="13.28515625" style="586" bestFit="1" customWidth="1"/>
    <col min="17" max="17" width="11.5703125" style="586" bestFit="1" customWidth="1"/>
    <col min="18" max="16384" width="9.140625" style="586"/>
  </cols>
  <sheetData>
    <row r="1" spans="1:27" s="581" customFormat="1" ht="27.75" customHeight="1">
      <c r="A1" s="761" t="s">
        <v>1139</v>
      </c>
      <c r="B1" s="761"/>
      <c r="C1" s="761"/>
      <c r="D1" s="761"/>
      <c r="E1" s="761"/>
      <c r="F1" s="761"/>
      <c r="G1" s="761"/>
      <c r="H1" s="761"/>
      <c r="I1" s="761"/>
      <c r="J1" s="761"/>
      <c r="K1" s="761"/>
      <c r="L1" s="761"/>
      <c r="M1" s="582"/>
      <c r="N1" s="582"/>
    </row>
    <row r="2" spans="1:27" s="581" customFormat="1" ht="12" customHeight="1">
      <c r="A2" s="665"/>
      <c r="B2" s="665"/>
      <c r="C2" s="665"/>
      <c r="D2" s="665"/>
      <c r="E2" s="665"/>
      <c r="F2" s="665"/>
      <c r="G2" s="665"/>
      <c r="H2" s="665"/>
      <c r="I2" s="665"/>
      <c r="J2" s="665"/>
      <c r="K2" s="665"/>
      <c r="L2" s="665"/>
      <c r="M2" s="582"/>
      <c r="N2" s="582"/>
    </row>
    <row r="3" spans="1:27" s="583" customFormat="1" ht="16.5" customHeight="1">
      <c r="A3" s="657" t="s">
        <v>1119</v>
      </c>
      <c r="B3" s="658"/>
      <c r="C3" s="658"/>
      <c r="D3" s="658"/>
      <c r="E3" s="658"/>
      <c r="F3" s="658"/>
      <c r="G3" s="659"/>
      <c r="H3" s="659"/>
      <c r="I3" s="659"/>
      <c r="K3" s="659"/>
      <c r="M3" s="658"/>
      <c r="N3" s="658"/>
    </row>
    <row r="4" spans="1:27" s="583" customFormat="1" ht="16.5" customHeight="1">
      <c r="A4" s="762" t="s">
        <v>1120</v>
      </c>
      <c r="B4" s="762"/>
      <c r="C4" s="762"/>
      <c r="D4" s="762"/>
      <c r="E4" s="762"/>
      <c r="F4" s="762"/>
      <c r="G4" s="762"/>
      <c r="H4" s="762"/>
      <c r="I4" s="762"/>
      <c r="J4" s="762"/>
      <c r="K4" s="762"/>
      <c r="L4" s="762"/>
      <c r="M4" s="660"/>
      <c r="N4" s="660"/>
    </row>
    <row r="5" spans="1:27" s="583" customFormat="1" ht="16.5">
      <c r="A5" s="762" t="s">
        <v>1140</v>
      </c>
      <c r="B5" s="762"/>
      <c r="C5" s="762"/>
      <c r="D5" s="762"/>
      <c r="E5" s="762"/>
      <c r="F5" s="762"/>
      <c r="G5" s="762"/>
      <c r="H5" s="762"/>
      <c r="I5" s="762"/>
      <c r="J5" s="762"/>
      <c r="K5" s="762"/>
      <c r="L5" s="762"/>
      <c r="M5" s="762"/>
      <c r="N5" s="762"/>
    </row>
    <row r="6" spans="1:27" s="583" customFormat="1" ht="16.5">
      <c r="A6" s="780" t="s">
        <v>1121</v>
      </c>
      <c r="B6" s="780"/>
      <c r="C6" s="780"/>
      <c r="D6" s="780"/>
      <c r="E6" s="780"/>
      <c r="F6" s="780"/>
      <c r="G6" s="780"/>
      <c r="H6" s="780"/>
      <c r="I6" s="780"/>
      <c r="J6" s="780"/>
      <c r="K6" s="780"/>
      <c r="L6" s="780"/>
      <c r="M6" s="661"/>
      <c r="N6" s="661"/>
      <c r="O6" s="660"/>
      <c r="P6" s="660"/>
      <c r="Q6" s="660"/>
      <c r="R6" s="660"/>
      <c r="S6" s="660"/>
      <c r="T6" s="660"/>
      <c r="U6" s="660"/>
      <c r="V6" s="660"/>
      <c r="W6" s="660"/>
      <c r="X6" s="660"/>
      <c r="Y6" s="660"/>
      <c r="Z6" s="660"/>
      <c r="AA6" s="660"/>
    </row>
    <row r="7" spans="1:27" s="583" customFormat="1" ht="35.25" customHeight="1">
      <c r="A7" s="763" t="s">
        <v>1122</v>
      </c>
      <c r="B7" s="763"/>
      <c r="C7" s="763"/>
      <c r="D7" s="763"/>
      <c r="E7" s="763"/>
      <c r="F7" s="763"/>
      <c r="G7" s="763"/>
      <c r="H7" s="763"/>
      <c r="I7" s="763"/>
      <c r="J7" s="763"/>
      <c r="K7" s="763"/>
      <c r="L7" s="763"/>
      <c r="M7" s="763"/>
      <c r="N7" s="763"/>
    </row>
    <row r="8" spans="1:27" s="583" customFormat="1" ht="16.5">
      <c r="A8" s="662" t="s">
        <v>846</v>
      </c>
      <c r="B8" s="584"/>
    </row>
    <row r="9" spans="1:27" s="583" customFormat="1" ht="16.5">
      <c r="A9" s="764" t="s">
        <v>1151</v>
      </c>
      <c r="B9" s="764"/>
      <c r="C9" s="764"/>
      <c r="D9" s="764"/>
      <c r="E9" s="764"/>
      <c r="F9" s="764"/>
      <c r="G9" s="764"/>
      <c r="H9" s="764"/>
      <c r="I9" s="764"/>
      <c r="J9" s="764"/>
      <c r="K9" s="764"/>
      <c r="L9" s="764"/>
      <c r="N9" s="585"/>
    </row>
    <row r="10" spans="1:27" ht="14.25" customHeight="1">
      <c r="J10" s="590"/>
      <c r="K10" s="591" t="s">
        <v>453</v>
      </c>
    </row>
    <row r="11" spans="1:27" s="592" customFormat="1" ht="15.75" customHeight="1">
      <c r="A11" s="765" t="s">
        <v>454</v>
      </c>
      <c r="B11" s="767" t="s">
        <v>455</v>
      </c>
      <c r="C11" s="765" t="s">
        <v>312</v>
      </c>
      <c r="D11" s="760" t="s">
        <v>315</v>
      </c>
      <c r="E11" s="760"/>
      <c r="F11" s="769" t="s">
        <v>1141</v>
      </c>
      <c r="G11" s="769"/>
      <c r="H11" s="759" t="s">
        <v>314</v>
      </c>
      <c r="I11" s="759"/>
      <c r="J11" s="759"/>
      <c r="K11" s="759"/>
      <c r="L11" s="760" t="s">
        <v>317</v>
      </c>
    </row>
    <row r="12" spans="1:27" ht="80.25" customHeight="1">
      <c r="A12" s="766"/>
      <c r="B12" s="768"/>
      <c r="C12" s="766"/>
      <c r="D12" s="663" t="s">
        <v>847</v>
      </c>
      <c r="E12" s="672" t="s">
        <v>1149</v>
      </c>
      <c r="F12" s="663" t="s">
        <v>456</v>
      </c>
      <c r="G12" s="663" t="s">
        <v>1142</v>
      </c>
      <c r="H12" s="664" t="s">
        <v>848</v>
      </c>
      <c r="I12" s="663" t="s">
        <v>1143</v>
      </c>
      <c r="J12" s="663" t="s">
        <v>1144</v>
      </c>
      <c r="K12" s="663" t="s">
        <v>818</v>
      </c>
      <c r="L12" s="760"/>
      <c r="M12" s="589"/>
      <c r="N12" s="589"/>
      <c r="Q12" s="593"/>
    </row>
    <row r="13" spans="1:27">
      <c r="A13" s="666">
        <v>1</v>
      </c>
      <c r="B13" s="667">
        <v>2</v>
      </c>
      <c r="C13" s="666">
        <v>3</v>
      </c>
      <c r="D13" s="667">
        <v>4</v>
      </c>
      <c r="E13" s="666">
        <v>5</v>
      </c>
      <c r="F13" s="667">
        <v>6</v>
      </c>
      <c r="G13" s="666">
        <v>7</v>
      </c>
      <c r="H13" s="687" t="s">
        <v>1145</v>
      </c>
      <c r="I13" s="663" t="s">
        <v>1146</v>
      </c>
      <c r="J13" s="667" t="s">
        <v>1147</v>
      </c>
      <c r="K13" s="666" t="s">
        <v>1148</v>
      </c>
      <c r="L13" s="667">
        <v>12</v>
      </c>
      <c r="M13" s="589"/>
      <c r="N13" s="589"/>
      <c r="Q13" s="593"/>
    </row>
    <row r="14" spans="1:27" s="590" customFormat="1">
      <c r="A14" s="627" t="s">
        <v>78</v>
      </c>
      <c r="B14" s="628" t="s">
        <v>1110</v>
      </c>
      <c r="C14" s="594"/>
      <c r="D14" s="641"/>
      <c r="E14" s="594"/>
      <c r="F14" s="595"/>
      <c r="G14" s="595"/>
      <c r="H14" s="598"/>
      <c r="I14" s="598"/>
      <c r="J14" s="598"/>
      <c r="K14" s="600"/>
      <c r="L14" s="598"/>
      <c r="M14" s="596"/>
      <c r="N14" s="597"/>
      <c r="Q14" s="597"/>
    </row>
    <row r="15" spans="1:27" s="590" customFormat="1">
      <c r="A15" s="627" t="s">
        <v>79</v>
      </c>
      <c r="B15" s="628" t="s">
        <v>1017</v>
      </c>
      <c r="C15" s="630"/>
      <c r="D15" s="642"/>
      <c r="E15" s="652"/>
      <c r="F15" s="599"/>
      <c r="G15" s="601"/>
      <c r="H15" s="648">
        <v>25199209361.851131</v>
      </c>
      <c r="I15" s="648">
        <v>2795124645</v>
      </c>
      <c r="J15" s="648">
        <f>+SUM(J16:J111)</f>
        <v>2813458282.1099992</v>
      </c>
      <c r="K15" s="691">
        <f>+J15-I15</f>
        <v>18333637.10999918</v>
      </c>
      <c r="L15" s="594"/>
      <c r="M15" s="596"/>
      <c r="N15" s="597"/>
      <c r="Q15" s="597"/>
    </row>
    <row r="16" spans="1:27" s="590" customFormat="1">
      <c r="A16" s="629" t="s">
        <v>1018</v>
      </c>
      <c r="B16" s="628"/>
      <c r="C16" s="630"/>
      <c r="D16" s="642"/>
      <c r="E16" s="652"/>
      <c r="F16" s="599"/>
      <c r="G16" s="601"/>
      <c r="H16" s="599">
        <v>0</v>
      </c>
      <c r="I16" s="599">
        <v>0</v>
      </c>
      <c r="J16" s="599"/>
      <c r="K16" s="692"/>
      <c r="L16" s="594"/>
      <c r="M16" s="596"/>
      <c r="N16" s="597"/>
      <c r="Q16" s="597"/>
    </row>
    <row r="17" spans="1:17" s="590" customFormat="1">
      <c r="A17" s="630" t="s">
        <v>8</v>
      </c>
      <c r="B17" s="631" t="s">
        <v>1019</v>
      </c>
      <c r="C17" s="630"/>
      <c r="D17" s="642"/>
      <c r="E17" s="652"/>
      <c r="F17" s="599"/>
      <c r="G17" s="601"/>
      <c r="H17" s="599"/>
      <c r="I17" s="599">
        <v>0</v>
      </c>
      <c r="J17" s="599">
        <f>MIN(E17*G17,H17+I17)</f>
        <v>0</v>
      </c>
      <c r="K17" s="692"/>
      <c r="L17" s="602"/>
      <c r="M17" s="596"/>
      <c r="N17" s="597"/>
      <c r="Q17" s="597"/>
    </row>
    <row r="18" spans="1:17" s="590" customFormat="1">
      <c r="A18" s="630">
        <v>1</v>
      </c>
      <c r="B18" s="631" t="s">
        <v>1020</v>
      </c>
      <c r="C18" s="630" t="s">
        <v>70</v>
      </c>
      <c r="D18" s="642">
        <v>7.641</v>
      </c>
      <c r="E18" s="651">
        <v>0</v>
      </c>
      <c r="F18" s="599">
        <v>1886218</v>
      </c>
      <c r="G18" s="601">
        <f>+'Thuyết minh (đợt 1)'!Q43</f>
        <v>1882446</v>
      </c>
      <c r="H18" s="650">
        <v>14412591.738</v>
      </c>
      <c r="I18" s="599">
        <v>0</v>
      </c>
      <c r="J18" s="599">
        <f>+E18*G18</f>
        <v>0</v>
      </c>
      <c r="K18" s="692">
        <f>+J18-I18</f>
        <v>0</v>
      </c>
      <c r="L18" s="602"/>
      <c r="M18" s="596"/>
      <c r="N18" s="597"/>
      <c r="Q18" s="597"/>
    </row>
    <row r="19" spans="1:17" s="590" customFormat="1" ht="30">
      <c r="A19" s="630">
        <v>2</v>
      </c>
      <c r="B19" s="631" t="s">
        <v>1021</v>
      </c>
      <c r="C19" s="630" t="s">
        <v>70</v>
      </c>
      <c r="D19" s="642">
        <v>7.641</v>
      </c>
      <c r="E19" s="651">
        <v>0</v>
      </c>
      <c r="F19" s="599">
        <v>1373602</v>
      </c>
      <c r="G19" s="601">
        <f>+'Thuyết minh (đợt 1)'!Q44</f>
        <v>1366734</v>
      </c>
      <c r="H19" s="650">
        <v>10495692.881999999</v>
      </c>
      <c r="I19" s="599">
        <v>0</v>
      </c>
      <c r="J19" s="599">
        <f t="shared" ref="J19:J82" si="0">+E19*G19</f>
        <v>0</v>
      </c>
      <c r="K19" s="692">
        <f t="shared" ref="K19:K82" si="1">+J19-I19</f>
        <v>0</v>
      </c>
      <c r="L19" s="602"/>
      <c r="M19" s="596"/>
      <c r="N19" s="597"/>
      <c r="Q19" s="597"/>
    </row>
    <row r="20" spans="1:17" s="590" customFormat="1" ht="30">
      <c r="A20" s="630">
        <v>3</v>
      </c>
      <c r="B20" s="631" t="s">
        <v>1022</v>
      </c>
      <c r="C20" s="630" t="s">
        <v>70</v>
      </c>
      <c r="D20" s="642">
        <v>7.641</v>
      </c>
      <c r="E20" s="651">
        <v>0</v>
      </c>
      <c r="F20" s="599">
        <v>1837919</v>
      </c>
      <c r="G20" s="601">
        <f>+'Thuyết minh (đợt 1)'!Q45</f>
        <v>1828729</v>
      </c>
      <c r="H20" s="650">
        <v>14043539.079</v>
      </c>
      <c r="I20" s="599">
        <v>0</v>
      </c>
      <c r="J20" s="599">
        <f t="shared" si="0"/>
        <v>0</v>
      </c>
      <c r="K20" s="692">
        <f t="shared" si="1"/>
        <v>0</v>
      </c>
      <c r="L20" s="602"/>
      <c r="M20" s="596"/>
      <c r="N20" s="597"/>
      <c r="Q20" s="597"/>
    </row>
    <row r="21" spans="1:17" s="590" customFormat="1">
      <c r="A21" s="630">
        <v>4</v>
      </c>
      <c r="B21" s="631" t="s">
        <v>1023</v>
      </c>
      <c r="C21" s="630" t="s">
        <v>30</v>
      </c>
      <c r="D21" s="642">
        <v>30.04</v>
      </c>
      <c r="E21" s="651">
        <v>0</v>
      </c>
      <c r="F21" s="599">
        <v>658291</v>
      </c>
      <c r="G21" s="601">
        <f>+'Thuyết minh (đợt 1)'!Q46</f>
        <v>660924</v>
      </c>
      <c r="H21" s="650">
        <v>19775061.640000001</v>
      </c>
      <c r="I21" s="599">
        <v>0</v>
      </c>
      <c r="J21" s="599">
        <f t="shared" si="0"/>
        <v>0</v>
      </c>
      <c r="K21" s="692">
        <f t="shared" si="1"/>
        <v>0</v>
      </c>
      <c r="L21" s="602"/>
      <c r="M21" s="596"/>
      <c r="N21" s="597"/>
      <c r="Q21" s="597"/>
    </row>
    <row r="22" spans="1:17" s="590" customFormat="1">
      <c r="A22" s="630">
        <v>5</v>
      </c>
      <c r="B22" s="631" t="s">
        <v>1024</v>
      </c>
      <c r="C22" s="630" t="s">
        <v>67</v>
      </c>
      <c r="D22" s="642">
        <v>39.173099999999998</v>
      </c>
      <c r="E22" s="651">
        <v>0</v>
      </c>
      <c r="F22" s="599">
        <v>8161936</v>
      </c>
      <c r="G22" s="601">
        <f>+'Thuyết minh (đợt 1)'!Q47</f>
        <v>8170098</v>
      </c>
      <c r="H22" s="650">
        <v>319728335.12159997</v>
      </c>
      <c r="I22" s="599">
        <v>0</v>
      </c>
      <c r="J22" s="599">
        <f t="shared" si="0"/>
        <v>0</v>
      </c>
      <c r="K22" s="692">
        <f t="shared" si="1"/>
        <v>0</v>
      </c>
      <c r="L22" s="602"/>
      <c r="M22" s="596"/>
      <c r="N22" s="597"/>
      <c r="Q22" s="597"/>
    </row>
    <row r="23" spans="1:17" s="590" customFormat="1">
      <c r="A23" s="630">
        <v>6</v>
      </c>
      <c r="B23" s="631" t="s">
        <v>1025</v>
      </c>
      <c r="C23" s="630" t="s">
        <v>1109</v>
      </c>
      <c r="D23" s="642">
        <v>327</v>
      </c>
      <c r="E23" s="651">
        <v>0</v>
      </c>
      <c r="F23" s="599">
        <v>4655511</v>
      </c>
      <c r="G23" s="601">
        <f>+'Thuyết minh (đợt 1)'!Q48</f>
        <v>4683444</v>
      </c>
      <c r="H23" s="650">
        <v>1522352097</v>
      </c>
      <c r="I23" s="599">
        <v>0</v>
      </c>
      <c r="J23" s="599">
        <f t="shared" si="0"/>
        <v>0</v>
      </c>
      <c r="K23" s="692">
        <f t="shared" si="1"/>
        <v>0</v>
      </c>
      <c r="L23" s="602"/>
      <c r="M23" s="596"/>
      <c r="N23" s="597"/>
      <c r="Q23" s="597"/>
    </row>
    <row r="24" spans="1:17" s="590" customFormat="1">
      <c r="A24" s="630">
        <v>7</v>
      </c>
      <c r="B24" s="631" t="s">
        <v>1026</v>
      </c>
      <c r="C24" s="630" t="s">
        <v>30</v>
      </c>
      <c r="D24" s="642">
        <v>3.9239999999999999</v>
      </c>
      <c r="E24" s="651">
        <v>0</v>
      </c>
      <c r="F24" s="599">
        <v>735497</v>
      </c>
      <c r="G24" s="601">
        <f>+'Thuyết minh (đợt 1)'!Q49</f>
        <v>739910</v>
      </c>
      <c r="H24" s="616">
        <v>2886090.2280000001</v>
      </c>
      <c r="I24" s="599">
        <v>0</v>
      </c>
      <c r="J24" s="599">
        <f t="shared" si="0"/>
        <v>0</v>
      </c>
      <c r="K24" s="692">
        <f t="shared" si="1"/>
        <v>0</v>
      </c>
      <c r="L24" s="602"/>
      <c r="M24" s="596"/>
      <c r="N24" s="597"/>
      <c r="Q24" s="597"/>
    </row>
    <row r="25" spans="1:17">
      <c r="A25" s="630" t="s">
        <v>313</v>
      </c>
      <c r="B25" s="631" t="s">
        <v>1027</v>
      </c>
      <c r="C25" s="630"/>
      <c r="D25" s="642"/>
      <c r="E25" s="651">
        <v>0</v>
      </c>
      <c r="F25" s="599">
        <v>0</v>
      </c>
      <c r="G25" s="601">
        <f>+'Thuyết minh (đợt 1)'!Q50</f>
        <v>0</v>
      </c>
      <c r="H25" s="616">
        <v>0</v>
      </c>
      <c r="I25" s="599">
        <v>0</v>
      </c>
      <c r="J25" s="599">
        <f t="shared" si="0"/>
        <v>0</v>
      </c>
      <c r="K25" s="692">
        <f t="shared" si="1"/>
        <v>0</v>
      </c>
      <c r="L25" s="604"/>
      <c r="M25" s="593"/>
      <c r="N25" s="593"/>
      <c r="O25" s="593"/>
    </row>
    <row r="26" spans="1:17">
      <c r="A26" s="630">
        <v>8</v>
      </c>
      <c r="B26" s="631" t="s">
        <v>1028</v>
      </c>
      <c r="C26" s="630" t="s">
        <v>30</v>
      </c>
      <c r="D26" s="642">
        <v>799.89200000000005</v>
      </c>
      <c r="E26" s="651">
        <v>86.765000000000001</v>
      </c>
      <c r="F26" s="599">
        <v>1988578</v>
      </c>
      <c r="G26" s="601">
        <f>+'Thuyết minh (đợt 1)'!Q51</f>
        <v>2000509</v>
      </c>
      <c r="H26" s="616">
        <v>1590647633.5760002</v>
      </c>
      <c r="I26" s="599">
        <v>172538970</v>
      </c>
      <c r="J26" s="599">
        <f t="shared" si="0"/>
        <v>173574163.38499999</v>
      </c>
      <c r="K26" s="692">
        <f t="shared" si="1"/>
        <v>1035193.3849999905</v>
      </c>
      <c r="L26" s="604"/>
      <c r="M26" s="593"/>
      <c r="N26" s="593"/>
      <c r="O26" s="593"/>
    </row>
    <row r="27" spans="1:17">
      <c r="A27" s="630">
        <v>9</v>
      </c>
      <c r="B27" s="631" t="s">
        <v>1029</v>
      </c>
      <c r="C27" s="630" t="s">
        <v>67</v>
      </c>
      <c r="D27" s="642">
        <v>53.819099999999992</v>
      </c>
      <c r="E27" s="651">
        <v>24.724</v>
      </c>
      <c r="F27" s="599">
        <v>7101623</v>
      </c>
      <c r="G27" s="601">
        <f>+'Thuyết minh (đợt 1)'!Q52</f>
        <v>7108725</v>
      </c>
      <c r="H27" s="650">
        <v>382202958.39929992</v>
      </c>
      <c r="I27" s="599">
        <v>175580527</v>
      </c>
      <c r="J27" s="599">
        <f t="shared" si="0"/>
        <v>175756116.90000001</v>
      </c>
      <c r="K27" s="692">
        <f t="shared" si="1"/>
        <v>175589.90000000596</v>
      </c>
      <c r="L27" s="604"/>
      <c r="M27" s="593"/>
      <c r="N27" s="593"/>
      <c r="O27" s="593"/>
    </row>
    <row r="28" spans="1:17">
      <c r="A28" s="630">
        <v>10</v>
      </c>
      <c r="B28" s="631" t="s">
        <v>1030</v>
      </c>
      <c r="C28" s="630" t="s">
        <v>195</v>
      </c>
      <c r="D28" s="642">
        <v>20.158049999999999</v>
      </c>
      <c r="E28" s="651">
        <v>9.3409999999999993</v>
      </c>
      <c r="F28" s="599">
        <v>20901654</v>
      </c>
      <c r="G28" s="601">
        <f>+'Thuyết minh (đợt 1)'!Q53</f>
        <v>21047966</v>
      </c>
      <c r="H28" s="616">
        <v>421336586.41469997</v>
      </c>
      <c r="I28" s="599">
        <v>195242350</v>
      </c>
      <c r="J28" s="599">
        <f t="shared" si="0"/>
        <v>196609050.40599999</v>
      </c>
      <c r="K28" s="692">
        <f t="shared" si="1"/>
        <v>1366700.4059999883</v>
      </c>
      <c r="L28" s="655"/>
      <c r="M28" s="593">
        <f t="shared" ref="M28:M59" si="2">+H28-K28</f>
        <v>419969886.00870001</v>
      </c>
      <c r="N28" s="593"/>
      <c r="O28" s="593"/>
    </row>
    <row r="29" spans="1:17">
      <c r="A29" s="630">
        <v>11</v>
      </c>
      <c r="B29" s="631" t="s">
        <v>1031</v>
      </c>
      <c r="C29" s="630" t="s">
        <v>195</v>
      </c>
      <c r="D29" s="642">
        <v>3.2407199999999996</v>
      </c>
      <c r="E29" s="651">
        <v>1.5029999999999999</v>
      </c>
      <c r="F29" s="599">
        <v>20846555</v>
      </c>
      <c r="G29" s="601">
        <f>+'Thuyết minh (đợt 1)'!Q54</f>
        <v>20992481</v>
      </c>
      <c r="H29" s="616">
        <v>67557847.719599992</v>
      </c>
      <c r="I29" s="599">
        <v>31332372</v>
      </c>
      <c r="J29" s="599">
        <f t="shared" si="0"/>
        <v>31551698.942999996</v>
      </c>
      <c r="K29" s="692">
        <f t="shared" si="1"/>
        <v>219326.94299999624</v>
      </c>
      <c r="L29" s="604"/>
      <c r="M29" s="593">
        <f t="shared" si="2"/>
        <v>67338520.776600003</v>
      </c>
      <c r="N29" s="593"/>
      <c r="O29" s="593"/>
    </row>
    <row r="30" spans="1:17">
      <c r="A30" s="630">
        <v>12</v>
      </c>
      <c r="B30" s="631" t="s">
        <v>1032</v>
      </c>
      <c r="C30" s="630" t="s">
        <v>195</v>
      </c>
      <c r="D30" s="642">
        <v>230.42548000000002</v>
      </c>
      <c r="E30" s="651">
        <v>106.934</v>
      </c>
      <c r="F30" s="599">
        <v>18857101</v>
      </c>
      <c r="G30" s="601">
        <f>+'Thuyết minh (đợt 1)'!Q55</f>
        <v>19007958</v>
      </c>
      <c r="H30" s="616">
        <v>4345156549.3334808</v>
      </c>
      <c r="I30" s="599">
        <v>2016465238</v>
      </c>
      <c r="J30" s="599">
        <f t="shared" si="0"/>
        <v>2032596980.7719998</v>
      </c>
      <c r="K30" s="692">
        <f t="shared" si="1"/>
        <v>16131742.771999836</v>
      </c>
      <c r="L30" s="604"/>
      <c r="M30" s="593">
        <f t="shared" si="2"/>
        <v>4329024806.5614815</v>
      </c>
      <c r="N30" s="593"/>
      <c r="O30" s="593"/>
    </row>
    <row r="31" spans="1:17">
      <c r="A31" s="630">
        <v>13</v>
      </c>
      <c r="B31" s="631" t="s">
        <v>1033</v>
      </c>
      <c r="C31" s="630" t="s">
        <v>195</v>
      </c>
      <c r="D31" s="642">
        <v>0.61727999999999994</v>
      </c>
      <c r="E31" s="651">
        <v>0.28399999999999997</v>
      </c>
      <c r="F31" s="599">
        <v>33081246</v>
      </c>
      <c r="G31" s="601">
        <f>+'Thuyết minh (đợt 1)'!Q56</f>
        <v>33246652</v>
      </c>
      <c r="H31" s="616">
        <v>20420391.530879997</v>
      </c>
      <c r="I31" s="599">
        <v>9395073</v>
      </c>
      <c r="J31" s="599">
        <f t="shared" si="0"/>
        <v>9442049.1679999996</v>
      </c>
      <c r="K31" s="692">
        <f t="shared" si="1"/>
        <v>46976.167999999598</v>
      </c>
      <c r="L31" s="604"/>
      <c r="M31" s="593">
        <f t="shared" si="2"/>
        <v>20373415.362879999</v>
      </c>
      <c r="N31" s="593">
        <f t="shared" ref="N31:N62" si="3">+H31-K31</f>
        <v>20373415.362879999</v>
      </c>
      <c r="O31" s="593"/>
    </row>
    <row r="32" spans="1:17">
      <c r="A32" s="630">
        <v>14</v>
      </c>
      <c r="B32" s="631" t="s">
        <v>1034</v>
      </c>
      <c r="C32" s="630" t="s">
        <v>195</v>
      </c>
      <c r="D32" s="642">
        <v>1999.7299999999998</v>
      </c>
      <c r="E32" s="651">
        <v>124.4</v>
      </c>
      <c r="F32" s="599">
        <v>22681</v>
      </c>
      <c r="G32" s="601">
        <f>+'Thuyết minh (đợt 1)'!Q57</f>
        <v>22590</v>
      </c>
      <c r="H32" s="616">
        <v>45355876.129999995</v>
      </c>
      <c r="I32" s="599">
        <v>2821516</v>
      </c>
      <c r="J32" s="599">
        <f t="shared" si="0"/>
        <v>2810196</v>
      </c>
      <c r="K32" s="692">
        <f t="shared" si="1"/>
        <v>-11320</v>
      </c>
      <c r="L32" s="604"/>
      <c r="M32" s="593">
        <f t="shared" si="2"/>
        <v>45367196.129999995</v>
      </c>
      <c r="N32" s="593">
        <f t="shared" si="3"/>
        <v>45367196.129999995</v>
      </c>
      <c r="O32" s="593"/>
    </row>
    <row r="33" spans="1:15" ht="30">
      <c r="A33" s="630">
        <v>15</v>
      </c>
      <c r="B33" s="631" t="s">
        <v>1035</v>
      </c>
      <c r="C33" s="630" t="s">
        <v>106</v>
      </c>
      <c r="D33" s="642">
        <v>46.92</v>
      </c>
      <c r="E33" s="651">
        <v>2.992</v>
      </c>
      <c r="F33" s="599">
        <v>22410802</v>
      </c>
      <c r="G33" s="601">
        <f>+'Thuyết minh (đợt 1)'!Q58</f>
        <v>22298748</v>
      </c>
      <c r="H33" s="616">
        <v>1051514829.84</v>
      </c>
      <c r="I33" s="599">
        <v>67053119</v>
      </c>
      <c r="J33" s="599">
        <f t="shared" si="0"/>
        <v>66717854.016000003</v>
      </c>
      <c r="K33" s="692">
        <f t="shared" si="1"/>
        <v>-335264.98399999738</v>
      </c>
      <c r="L33" s="604"/>
      <c r="M33" s="593">
        <f t="shared" si="2"/>
        <v>1051850094.824</v>
      </c>
      <c r="N33" s="593">
        <f t="shared" si="3"/>
        <v>1051850094.824</v>
      </c>
      <c r="O33" s="593"/>
    </row>
    <row r="34" spans="1:15" ht="30">
      <c r="A34" s="630">
        <v>16</v>
      </c>
      <c r="B34" s="631" t="s">
        <v>1036</v>
      </c>
      <c r="C34" s="630" t="s">
        <v>106</v>
      </c>
      <c r="D34" s="642">
        <v>1.38</v>
      </c>
      <c r="E34" s="651">
        <v>8.7999999999999995E-2</v>
      </c>
      <c r="F34" s="599">
        <v>16808103</v>
      </c>
      <c r="G34" s="601">
        <f>+'Thuyết minh (đợt 1)'!Q59</f>
        <v>16724062</v>
      </c>
      <c r="H34" s="616">
        <v>23195182.139999997</v>
      </c>
      <c r="I34" s="599">
        <v>1479113</v>
      </c>
      <c r="J34" s="599">
        <f t="shared" si="0"/>
        <v>1471717.456</v>
      </c>
      <c r="K34" s="692">
        <f t="shared" si="1"/>
        <v>-7395.5439999999944</v>
      </c>
      <c r="L34" s="604"/>
      <c r="M34" s="593">
        <f t="shared" si="2"/>
        <v>23202577.683999997</v>
      </c>
      <c r="N34" s="593">
        <f t="shared" si="3"/>
        <v>23202577.683999997</v>
      </c>
      <c r="O34" s="593"/>
    </row>
    <row r="35" spans="1:15" ht="30">
      <c r="A35" s="630">
        <v>17</v>
      </c>
      <c r="B35" s="631" t="s">
        <v>1037</v>
      </c>
      <c r="C35" s="630" t="s">
        <v>106</v>
      </c>
      <c r="D35" s="642">
        <v>40.527999999999999</v>
      </c>
      <c r="E35" s="651">
        <v>2.448</v>
      </c>
      <c r="F35" s="599">
        <v>27341179</v>
      </c>
      <c r="G35" s="601">
        <f>+'Thuyết minh (đợt 1)'!Q60</f>
        <v>27204473</v>
      </c>
      <c r="H35" s="616">
        <v>1108083302.5119998</v>
      </c>
      <c r="I35" s="599">
        <v>66931206</v>
      </c>
      <c r="J35" s="599">
        <f t="shared" si="0"/>
        <v>66596549.903999999</v>
      </c>
      <c r="K35" s="692">
        <f t="shared" si="1"/>
        <v>-334656.09600000083</v>
      </c>
      <c r="L35" s="604"/>
      <c r="M35" s="593">
        <f t="shared" si="2"/>
        <v>1108417958.6079998</v>
      </c>
      <c r="N35" s="593">
        <f t="shared" si="3"/>
        <v>1108417958.6079998</v>
      </c>
      <c r="O35" s="593"/>
    </row>
    <row r="36" spans="1:15" ht="30">
      <c r="A36" s="630">
        <v>18</v>
      </c>
      <c r="B36" s="631" t="s">
        <v>1038</v>
      </c>
      <c r="C36" s="630" t="s">
        <v>106</v>
      </c>
      <c r="D36" s="642">
        <v>1.1919999999999999</v>
      </c>
      <c r="E36" s="651">
        <v>7.1999999999999995E-2</v>
      </c>
      <c r="F36" s="599">
        <v>20505884</v>
      </c>
      <c r="G36" s="601">
        <f>+'Thuyết minh (đợt 1)'!Q61</f>
        <v>20403355</v>
      </c>
      <c r="H36" s="616">
        <v>24443013.728</v>
      </c>
      <c r="I36" s="599">
        <v>1476423</v>
      </c>
      <c r="J36" s="599">
        <f t="shared" si="0"/>
        <v>1469041.5599999998</v>
      </c>
      <c r="K36" s="692">
        <f t="shared" si="1"/>
        <v>-7381.440000000177</v>
      </c>
      <c r="L36" s="604"/>
      <c r="M36" s="593">
        <f t="shared" si="2"/>
        <v>24450395.168000001</v>
      </c>
      <c r="N36" s="593">
        <f t="shared" si="3"/>
        <v>24450395.168000001</v>
      </c>
      <c r="O36" s="593"/>
    </row>
    <row r="37" spans="1:15">
      <c r="A37" s="630">
        <v>19</v>
      </c>
      <c r="B37" s="631" t="s">
        <v>1039</v>
      </c>
      <c r="C37" s="630" t="s">
        <v>30</v>
      </c>
      <c r="D37" s="642">
        <v>17.360999999999997</v>
      </c>
      <c r="E37" s="651">
        <v>0</v>
      </c>
      <c r="F37" s="599">
        <v>520999</v>
      </c>
      <c r="G37" s="601">
        <f>+'Thuyết minh (đợt 1)'!Q62</f>
        <v>519957</v>
      </c>
      <c r="H37" s="616">
        <v>9045063.6389999986</v>
      </c>
      <c r="I37" s="599">
        <v>0</v>
      </c>
      <c r="J37" s="599">
        <f t="shared" si="0"/>
        <v>0</v>
      </c>
      <c r="K37" s="692">
        <f t="shared" si="1"/>
        <v>0</v>
      </c>
      <c r="L37" s="604"/>
      <c r="M37" s="593">
        <f t="shared" si="2"/>
        <v>9045063.6389999986</v>
      </c>
      <c r="N37" s="593">
        <f t="shared" si="3"/>
        <v>9045063.6389999986</v>
      </c>
      <c r="O37" s="593"/>
    </row>
    <row r="38" spans="1:15">
      <c r="A38" s="630">
        <v>20</v>
      </c>
      <c r="B38" s="631" t="s">
        <v>1040</v>
      </c>
      <c r="C38" s="630" t="s">
        <v>30</v>
      </c>
      <c r="D38" s="642">
        <v>113.1298</v>
      </c>
      <c r="E38" s="651">
        <v>0</v>
      </c>
      <c r="F38" s="599">
        <v>1650615</v>
      </c>
      <c r="G38" s="601">
        <f>+'Thuyết minh (đợt 1)'!Q63</f>
        <v>1662169</v>
      </c>
      <c r="H38" s="616">
        <v>186733744.82699999</v>
      </c>
      <c r="I38" s="599">
        <v>0</v>
      </c>
      <c r="J38" s="599">
        <f t="shared" si="0"/>
        <v>0</v>
      </c>
      <c r="K38" s="692">
        <f t="shared" si="1"/>
        <v>0</v>
      </c>
      <c r="L38" s="604"/>
      <c r="M38" s="593">
        <f t="shared" si="2"/>
        <v>186733744.82699999</v>
      </c>
      <c r="N38" s="593">
        <f t="shared" si="3"/>
        <v>186733744.82699999</v>
      </c>
      <c r="O38" s="593"/>
    </row>
    <row r="39" spans="1:15" ht="30">
      <c r="A39" s="630">
        <v>21</v>
      </c>
      <c r="B39" s="631" t="s">
        <v>1041</v>
      </c>
      <c r="C39" s="630" t="s">
        <v>30</v>
      </c>
      <c r="D39" s="642">
        <v>605.87840500000004</v>
      </c>
      <c r="E39" s="651">
        <v>0</v>
      </c>
      <c r="F39" s="599">
        <v>2830127</v>
      </c>
      <c r="G39" s="601">
        <f>+'Thuyết minh (đợt 1)'!Q64</f>
        <v>2847108</v>
      </c>
      <c r="H39" s="616">
        <v>1714712832.7074351</v>
      </c>
      <c r="I39" s="599">
        <v>0</v>
      </c>
      <c r="J39" s="599">
        <f t="shared" si="0"/>
        <v>0</v>
      </c>
      <c r="K39" s="692">
        <f t="shared" si="1"/>
        <v>0</v>
      </c>
      <c r="L39" s="604"/>
      <c r="M39" s="593">
        <f t="shared" si="2"/>
        <v>1714712832.7074351</v>
      </c>
      <c r="N39" s="593">
        <f t="shared" si="3"/>
        <v>1714712832.7074351</v>
      </c>
      <c r="O39" s="593"/>
    </row>
    <row r="40" spans="1:15">
      <c r="A40" s="630">
        <v>22</v>
      </c>
      <c r="B40" s="631" t="s">
        <v>1042</v>
      </c>
      <c r="C40" s="630" t="s">
        <v>67</v>
      </c>
      <c r="D40" s="642">
        <v>38.748786920000001</v>
      </c>
      <c r="E40" s="651">
        <v>0</v>
      </c>
      <c r="F40" s="599">
        <v>16832404</v>
      </c>
      <c r="G40" s="601">
        <f>+'Thuyết minh (đợt 1)'!Q65</f>
        <v>16882901</v>
      </c>
      <c r="H40" s="616">
        <v>652235235.94735575</v>
      </c>
      <c r="I40" s="599">
        <v>0</v>
      </c>
      <c r="J40" s="599">
        <f t="shared" si="0"/>
        <v>0</v>
      </c>
      <c r="K40" s="692">
        <f t="shared" si="1"/>
        <v>0</v>
      </c>
      <c r="L40" s="604"/>
      <c r="M40" s="593">
        <f t="shared" si="2"/>
        <v>652235235.94735575</v>
      </c>
      <c r="N40" s="593">
        <f t="shared" si="3"/>
        <v>652235235.94735575</v>
      </c>
      <c r="O40" s="593"/>
    </row>
    <row r="41" spans="1:15">
      <c r="A41" s="630">
        <v>23</v>
      </c>
      <c r="B41" s="631" t="s">
        <v>1043</v>
      </c>
      <c r="C41" s="630" t="s">
        <v>195</v>
      </c>
      <c r="D41" s="642">
        <v>3.8067399999999996</v>
      </c>
      <c r="E41" s="651">
        <v>0</v>
      </c>
      <c r="F41" s="599">
        <v>18530849</v>
      </c>
      <c r="G41" s="601">
        <f>+'Thuyết minh (đợt 1)'!Q66</f>
        <v>18660565</v>
      </c>
      <c r="H41" s="616">
        <v>70542124.122259989</v>
      </c>
      <c r="I41" s="599">
        <v>0</v>
      </c>
      <c r="J41" s="599">
        <f t="shared" si="0"/>
        <v>0</v>
      </c>
      <c r="K41" s="692">
        <f t="shared" si="1"/>
        <v>0</v>
      </c>
      <c r="L41" s="604"/>
      <c r="M41" s="593">
        <f t="shared" si="2"/>
        <v>70542124.122259989</v>
      </c>
      <c r="N41" s="593">
        <f t="shared" si="3"/>
        <v>70542124.122259989</v>
      </c>
      <c r="O41" s="593"/>
    </row>
    <row r="42" spans="1:15">
      <c r="A42" s="630">
        <v>24</v>
      </c>
      <c r="B42" s="631" t="s">
        <v>1044</v>
      </c>
      <c r="C42" s="630" t="s">
        <v>195</v>
      </c>
      <c r="D42" s="642">
        <v>18.308119999999999</v>
      </c>
      <c r="E42" s="651">
        <v>0</v>
      </c>
      <c r="F42" s="599">
        <v>19534711</v>
      </c>
      <c r="G42" s="601">
        <f>+'Thuyết minh (đợt 1)'!Q67</f>
        <v>19671454</v>
      </c>
      <c r="H42" s="616">
        <v>357643833.15331995</v>
      </c>
      <c r="I42" s="599">
        <v>0</v>
      </c>
      <c r="J42" s="599">
        <f t="shared" si="0"/>
        <v>0</v>
      </c>
      <c r="K42" s="692">
        <f t="shared" si="1"/>
        <v>0</v>
      </c>
      <c r="L42" s="604"/>
      <c r="M42" s="593">
        <f t="shared" si="2"/>
        <v>357643833.15331995</v>
      </c>
      <c r="N42" s="593">
        <f t="shared" si="3"/>
        <v>357643833.15331995</v>
      </c>
      <c r="O42" s="593"/>
    </row>
    <row r="43" spans="1:15">
      <c r="A43" s="630">
        <v>25</v>
      </c>
      <c r="B43" s="631" t="s">
        <v>1045</v>
      </c>
      <c r="C43" s="630" t="s">
        <v>195</v>
      </c>
      <c r="D43" s="642">
        <v>14.199859999999999</v>
      </c>
      <c r="E43" s="651">
        <v>0</v>
      </c>
      <c r="F43" s="599">
        <v>19908754</v>
      </c>
      <c r="G43" s="601">
        <f>+'Thuyết minh (đợt 1)'!Q68</f>
        <v>20048115</v>
      </c>
      <c r="H43" s="616">
        <v>282701519.57444</v>
      </c>
      <c r="I43" s="599">
        <v>0</v>
      </c>
      <c r="J43" s="599">
        <f t="shared" si="0"/>
        <v>0</v>
      </c>
      <c r="K43" s="692">
        <f t="shared" si="1"/>
        <v>0</v>
      </c>
      <c r="L43" s="604"/>
      <c r="M43" s="593">
        <f t="shared" si="2"/>
        <v>282701519.57444</v>
      </c>
      <c r="N43" s="593">
        <f t="shared" si="3"/>
        <v>282701519.57444</v>
      </c>
      <c r="O43" s="593"/>
    </row>
    <row r="44" spans="1:15">
      <c r="A44" s="630">
        <v>26</v>
      </c>
      <c r="B44" s="631" t="s">
        <v>1046</v>
      </c>
      <c r="C44" s="630" t="s">
        <v>195</v>
      </c>
      <c r="D44" s="642">
        <v>19.036909999999999</v>
      </c>
      <c r="E44" s="651">
        <v>0</v>
      </c>
      <c r="F44" s="599">
        <v>19439024</v>
      </c>
      <c r="G44" s="601">
        <f>+'Thuyết minh (đợt 1)'!Q69</f>
        <v>19575097</v>
      </c>
      <c r="H44" s="616">
        <v>370058950.37583995</v>
      </c>
      <c r="I44" s="599">
        <v>0</v>
      </c>
      <c r="J44" s="599">
        <f t="shared" si="0"/>
        <v>0</v>
      </c>
      <c r="K44" s="692">
        <f t="shared" si="1"/>
        <v>0</v>
      </c>
      <c r="L44" s="604"/>
      <c r="M44" s="593">
        <f t="shared" si="2"/>
        <v>370058950.37583995</v>
      </c>
      <c r="N44" s="593">
        <f t="shared" si="3"/>
        <v>370058950.37583995</v>
      </c>
      <c r="O44" s="593"/>
    </row>
    <row r="45" spans="1:15">
      <c r="A45" s="630">
        <v>27</v>
      </c>
      <c r="B45" s="631" t="s">
        <v>1047</v>
      </c>
      <c r="C45" s="630" t="s">
        <v>195</v>
      </c>
      <c r="D45" s="642">
        <v>0</v>
      </c>
      <c r="E45" s="651">
        <v>0</v>
      </c>
      <c r="F45" s="599">
        <v>19675132</v>
      </c>
      <c r="G45" s="601">
        <f>+'Thuyết minh (đợt 1)'!Q70</f>
        <v>19812858</v>
      </c>
      <c r="H45" s="616">
        <v>0</v>
      </c>
      <c r="I45" s="599">
        <v>0</v>
      </c>
      <c r="J45" s="599">
        <f t="shared" si="0"/>
        <v>0</v>
      </c>
      <c r="K45" s="692">
        <f t="shared" si="1"/>
        <v>0</v>
      </c>
      <c r="L45" s="604"/>
      <c r="M45" s="593">
        <f t="shared" si="2"/>
        <v>0</v>
      </c>
      <c r="N45" s="593">
        <f t="shared" si="3"/>
        <v>0</v>
      </c>
      <c r="O45" s="593"/>
    </row>
    <row r="46" spans="1:15" ht="30">
      <c r="A46" s="630">
        <v>28</v>
      </c>
      <c r="B46" s="631" t="s">
        <v>1048</v>
      </c>
      <c r="C46" s="630" t="s">
        <v>30</v>
      </c>
      <c r="D46" s="642">
        <v>498.99509999999998</v>
      </c>
      <c r="E46" s="651">
        <v>0</v>
      </c>
      <c r="F46" s="599">
        <v>1879821</v>
      </c>
      <c r="G46" s="601">
        <f>+'Thuyết minh (đợt 1)'!Q71</f>
        <v>1892980</v>
      </c>
      <c r="H46" s="616">
        <v>938021467.87709999</v>
      </c>
      <c r="I46" s="599">
        <v>0</v>
      </c>
      <c r="J46" s="599">
        <f t="shared" si="0"/>
        <v>0</v>
      </c>
      <c r="K46" s="692">
        <f t="shared" si="1"/>
        <v>0</v>
      </c>
      <c r="L46" s="604"/>
      <c r="M46" s="593">
        <f t="shared" si="2"/>
        <v>938021467.87709999</v>
      </c>
      <c r="N46" s="593">
        <f t="shared" si="3"/>
        <v>938021467.87709999</v>
      </c>
      <c r="O46" s="593"/>
    </row>
    <row r="47" spans="1:15">
      <c r="A47" s="630">
        <v>29</v>
      </c>
      <c r="B47" s="631" t="s">
        <v>1049</v>
      </c>
      <c r="C47" s="630" t="s">
        <v>67</v>
      </c>
      <c r="D47" s="642">
        <v>6.0904800000000012</v>
      </c>
      <c r="E47" s="651">
        <v>0</v>
      </c>
      <c r="F47" s="599">
        <v>4745755</v>
      </c>
      <c r="G47" s="601">
        <f>+'Thuyết minh (đợt 1)'!Q72</f>
        <v>4759992</v>
      </c>
      <c r="H47" s="616">
        <v>28903925.912400007</v>
      </c>
      <c r="I47" s="599">
        <v>0</v>
      </c>
      <c r="J47" s="599">
        <f t="shared" si="0"/>
        <v>0</v>
      </c>
      <c r="K47" s="692">
        <f t="shared" si="1"/>
        <v>0</v>
      </c>
      <c r="L47" s="604"/>
      <c r="M47" s="593">
        <f t="shared" si="2"/>
        <v>28903925.912400007</v>
      </c>
      <c r="N47" s="593">
        <f t="shared" si="3"/>
        <v>28903925.912400007</v>
      </c>
      <c r="O47" s="593"/>
    </row>
    <row r="48" spans="1:15">
      <c r="A48" s="630">
        <v>30</v>
      </c>
      <c r="B48" s="631" t="s">
        <v>1050</v>
      </c>
      <c r="C48" s="630" t="s">
        <v>195</v>
      </c>
      <c r="D48" s="642">
        <v>11.357980000000001</v>
      </c>
      <c r="E48" s="651">
        <v>0</v>
      </c>
      <c r="F48" s="599">
        <v>18884703</v>
      </c>
      <c r="G48" s="601">
        <f>+'Thuyết minh (đợt 1)'!Q73</f>
        <v>19035781</v>
      </c>
      <c r="H48" s="616">
        <v>214492078.97994003</v>
      </c>
      <c r="I48" s="599">
        <v>0</v>
      </c>
      <c r="J48" s="599">
        <f t="shared" si="0"/>
        <v>0</v>
      </c>
      <c r="K48" s="692">
        <f t="shared" si="1"/>
        <v>0</v>
      </c>
      <c r="L48" s="604"/>
      <c r="M48" s="593">
        <f t="shared" si="2"/>
        <v>214492078.97994003</v>
      </c>
      <c r="N48" s="593">
        <f t="shared" si="3"/>
        <v>214492078.97994003</v>
      </c>
      <c r="O48" s="593"/>
    </row>
    <row r="49" spans="1:15">
      <c r="A49" s="630">
        <v>31</v>
      </c>
      <c r="B49" s="631" t="s">
        <v>1051</v>
      </c>
      <c r="C49" s="630" t="s">
        <v>195</v>
      </c>
      <c r="D49" s="642">
        <v>7.8795199999999994</v>
      </c>
      <c r="E49" s="651">
        <v>0</v>
      </c>
      <c r="F49" s="599">
        <v>19258747</v>
      </c>
      <c r="G49" s="601">
        <f>+'Thuyết minh (đợt 1)'!Q74</f>
        <v>19412817</v>
      </c>
      <c r="H49" s="616">
        <v>151749682.16143999</v>
      </c>
      <c r="I49" s="599">
        <v>0</v>
      </c>
      <c r="J49" s="599">
        <f t="shared" si="0"/>
        <v>0</v>
      </c>
      <c r="K49" s="692">
        <f t="shared" si="1"/>
        <v>0</v>
      </c>
      <c r="L49" s="604"/>
      <c r="M49" s="593">
        <f t="shared" si="2"/>
        <v>151749682.16143999</v>
      </c>
      <c r="N49" s="593">
        <f t="shared" si="3"/>
        <v>151749682.16143999</v>
      </c>
      <c r="O49" s="593"/>
    </row>
    <row r="50" spans="1:15">
      <c r="A50" s="630">
        <v>32</v>
      </c>
      <c r="B50" s="631" t="s">
        <v>1052</v>
      </c>
      <c r="C50" s="630" t="s">
        <v>195</v>
      </c>
      <c r="D50" s="642">
        <v>10.288959999999999</v>
      </c>
      <c r="E50" s="651">
        <v>0</v>
      </c>
      <c r="F50" s="599">
        <v>18789018</v>
      </c>
      <c r="G50" s="601">
        <f>+'Thuyết minh (đợt 1)'!Q75</f>
        <v>18939330</v>
      </c>
      <c r="H50" s="616">
        <v>193319454.64128</v>
      </c>
      <c r="I50" s="599">
        <v>0</v>
      </c>
      <c r="J50" s="599">
        <f t="shared" si="0"/>
        <v>0</v>
      </c>
      <c r="K50" s="692">
        <f t="shared" si="1"/>
        <v>0</v>
      </c>
      <c r="L50" s="604"/>
      <c r="M50" s="593">
        <f t="shared" si="2"/>
        <v>193319454.64128</v>
      </c>
      <c r="N50" s="593">
        <f t="shared" si="3"/>
        <v>193319454.64128</v>
      </c>
      <c r="O50" s="593"/>
    </row>
    <row r="51" spans="1:15">
      <c r="A51" s="630">
        <v>33</v>
      </c>
      <c r="B51" s="631" t="s">
        <v>1053</v>
      </c>
      <c r="C51" s="630" t="s">
        <v>195</v>
      </c>
      <c r="D51" s="642">
        <v>0</v>
      </c>
      <c r="E51" s="651">
        <v>0</v>
      </c>
      <c r="F51" s="599">
        <v>19025125</v>
      </c>
      <c r="G51" s="601">
        <f>+'Thuyết minh (đợt 1)'!Q76</f>
        <v>19177326</v>
      </c>
      <c r="H51" s="616">
        <v>0</v>
      </c>
      <c r="I51" s="599">
        <v>0</v>
      </c>
      <c r="J51" s="599">
        <f t="shared" si="0"/>
        <v>0</v>
      </c>
      <c r="K51" s="692">
        <f t="shared" si="1"/>
        <v>0</v>
      </c>
      <c r="L51" s="604"/>
      <c r="M51" s="593">
        <f t="shared" si="2"/>
        <v>0</v>
      </c>
      <c r="N51" s="593">
        <f t="shared" si="3"/>
        <v>0</v>
      </c>
      <c r="O51" s="593"/>
    </row>
    <row r="52" spans="1:15">
      <c r="A52" s="630">
        <v>34</v>
      </c>
      <c r="B52" s="631" t="s">
        <v>1054</v>
      </c>
      <c r="C52" s="630" t="s">
        <v>30</v>
      </c>
      <c r="D52" s="642">
        <v>7.5288500000000003</v>
      </c>
      <c r="E52" s="651">
        <v>0</v>
      </c>
      <c r="F52" s="599">
        <v>1058411</v>
      </c>
      <c r="G52" s="601">
        <f>+'Thuyết minh (đợt 1)'!Q77</f>
        <v>1064761</v>
      </c>
      <c r="H52" s="616">
        <v>7968617.65735</v>
      </c>
      <c r="I52" s="599">
        <v>0</v>
      </c>
      <c r="J52" s="599">
        <f t="shared" si="0"/>
        <v>0</v>
      </c>
      <c r="K52" s="692">
        <f t="shared" si="1"/>
        <v>0</v>
      </c>
      <c r="L52" s="604"/>
      <c r="M52" s="593">
        <f t="shared" si="2"/>
        <v>7968617.65735</v>
      </c>
      <c r="N52" s="593">
        <f t="shared" si="3"/>
        <v>7968617.65735</v>
      </c>
      <c r="O52" s="593"/>
    </row>
    <row r="53" spans="1:15">
      <c r="A53" s="630">
        <v>35</v>
      </c>
      <c r="B53" s="631" t="s">
        <v>1055</v>
      </c>
      <c r="C53" s="630" t="s">
        <v>30</v>
      </c>
      <c r="D53" s="642">
        <v>10.95885</v>
      </c>
      <c r="E53" s="651">
        <v>0</v>
      </c>
      <c r="F53" s="599">
        <v>892360</v>
      </c>
      <c r="G53" s="601">
        <f>+'Thuyết minh (đợt 1)'!Q78</f>
        <v>896822</v>
      </c>
      <c r="H53" s="616">
        <v>9779239.3859999999</v>
      </c>
      <c r="I53" s="599">
        <v>0</v>
      </c>
      <c r="J53" s="599">
        <f t="shared" si="0"/>
        <v>0</v>
      </c>
      <c r="K53" s="692">
        <f t="shared" si="1"/>
        <v>0</v>
      </c>
      <c r="L53" s="604"/>
      <c r="M53" s="593">
        <f t="shared" si="2"/>
        <v>9779239.3859999999</v>
      </c>
      <c r="N53" s="593">
        <f t="shared" si="3"/>
        <v>9779239.3859999999</v>
      </c>
      <c r="O53" s="593"/>
    </row>
    <row r="54" spans="1:15">
      <c r="A54" s="630">
        <v>36</v>
      </c>
      <c r="B54" s="631" t="s">
        <v>1056</v>
      </c>
      <c r="C54" s="630" t="s">
        <v>106</v>
      </c>
      <c r="D54" s="642">
        <v>1.3720000000000001</v>
      </c>
      <c r="E54" s="651">
        <v>0</v>
      </c>
      <c r="F54" s="599">
        <v>3887747</v>
      </c>
      <c r="G54" s="601">
        <f>+'Thuyết minh (đợt 1)'!Q79</f>
        <v>3911073</v>
      </c>
      <c r="H54" s="616">
        <v>5333988.8840000005</v>
      </c>
      <c r="I54" s="599">
        <v>0</v>
      </c>
      <c r="J54" s="599">
        <f t="shared" si="0"/>
        <v>0</v>
      </c>
      <c r="K54" s="692">
        <f t="shared" si="1"/>
        <v>0</v>
      </c>
      <c r="L54" s="604"/>
      <c r="M54" s="593">
        <f t="shared" si="2"/>
        <v>5333988.8840000005</v>
      </c>
      <c r="N54" s="593">
        <f t="shared" si="3"/>
        <v>5333988.8840000005</v>
      </c>
      <c r="O54" s="593"/>
    </row>
    <row r="55" spans="1:15">
      <c r="A55" s="630">
        <v>37</v>
      </c>
      <c r="B55" s="631" t="s">
        <v>551</v>
      </c>
      <c r="C55" s="630" t="s">
        <v>90</v>
      </c>
      <c r="D55" s="642">
        <v>141</v>
      </c>
      <c r="E55" s="651">
        <v>0</v>
      </c>
      <c r="F55" s="599">
        <v>672848</v>
      </c>
      <c r="G55" s="601">
        <f>+'Thuyết minh (đợt 1)'!Q80</f>
        <v>674194</v>
      </c>
      <c r="H55" s="616">
        <v>94871568</v>
      </c>
      <c r="I55" s="599">
        <v>0</v>
      </c>
      <c r="J55" s="599">
        <f t="shared" si="0"/>
        <v>0</v>
      </c>
      <c r="K55" s="692">
        <f t="shared" si="1"/>
        <v>0</v>
      </c>
      <c r="L55" s="604"/>
      <c r="M55" s="593">
        <f t="shared" si="2"/>
        <v>94871568</v>
      </c>
      <c r="N55" s="593">
        <f t="shared" si="3"/>
        <v>94871568</v>
      </c>
      <c r="O55" s="593"/>
    </row>
    <row r="56" spans="1:15">
      <c r="A56" s="630" t="s">
        <v>337</v>
      </c>
      <c r="B56" s="631" t="s">
        <v>1057</v>
      </c>
      <c r="C56" s="630"/>
      <c r="D56" s="642"/>
      <c r="E56" s="651">
        <v>0</v>
      </c>
      <c r="F56" s="599"/>
      <c r="G56" s="601">
        <f>+'Thuyết minh (đợt 1)'!Q81</f>
        <v>0</v>
      </c>
      <c r="H56" s="616">
        <v>0</v>
      </c>
      <c r="I56" s="599">
        <v>0</v>
      </c>
      <c r="J56" s="599">
        <f t="shared" si="0"/>
        <v>0</v>
      </c>
      <c r="K56" s="692">
        <f t="shared" si="1"/>
        <v>0</v>
      </c>
      <c r="L56" s="604"/>
      <c r="M56" s="593">
        <f t="shared" si="2"/>
        <v>0</v>
      </c>
      <c r="N56" s="593">
        <f t="shared" si="3"/>
        <v>0</v>
      </c>
      <c r="O56" s="593"/>
    </row>
    <row r="57" spans="1:15">
      <c r="A57" s="630">
        <v>41</v>
      </c>
      <c r="B57" s="631" t="s">
        <v>1058</v>
      </c>
      <c r="C57" s="630" t="s">
        <v>30</v>
      </c>
      <c r="D57" s="642">
        <v>9.9200000000000017</v>
      </c>
      <c r="E57" s="651">
        <v>0</v>
      </c>
      <c r="F57" s="599">
        <v>2672535</v>
      </c>
      <c r="G57" s="601">
        <f>+'Thuyết minh (đợt 1)'!Q82</f>
        <v>2685898</v>
      </c>
      <c r="H57" s="616">
        <v>26511547.200000003</v>
      </c>
      <c r="I57" s="599">
        <v>0</v>
      </c>
      <c r="J57" s="599">
        <f t="shared" si="0"/>
        <v>0</v>
      </c>
      <c r="K57" s="692">
        <f t="shared" si="1"/>
        <v>0</v>
      </c>
      <c r="L57" s="604"/>
      <c r="M57" s="593">
        <f t="shared" si="2"/>
        <v>26511547.200000003</v>
      </c>
      <c r="N57" s="593">
        <f t="shared" si="3"/>
        <v>26511547.200000003</v>
      </c>
      <c r="O57" s="593"/>
    </row>
    <row r="58" spans="1:15">
      <c r="A58" s="630">
        <v>42</v>
      </c>
      <c r="B58" s="631" t="s">
        <v>1059</v>
      </c>
      <c r="C58" s="630" t="s">
        <v>67</v>
      </c>
      <c r="D58" s="642">
        <v>2.9263999999999997</v>
      </c>
      <c r="E58" s="651">
        <v>0</v>
      </c>
      <c r="F58" s="599">
        <v>16721582</v>
      </c>
      <c r="G58" s="601">
        <f>+'Thuyết minh (đợt 1)'!Q83</f>
        <v>16771747</v>
      </c>
      <c r="H58" s="616">
        <v>48934037.564799994</v>
      </c>
      <c r="I58" s="599">
        <v>0</v>
      </c>
      <c r="J58" s="599">
        <f t="shared" si="0"/>
        <v>0</v>
      </c>
      <c r="K58" s="692">
        <f t="shared" si="1"/>
        <v>0</v>
      </c>
      <c r="L58" s="604"/>
      <c r="M58" s="593">
        <f t="shared" si="2"/>
        <v>48934037.564799994</v>
      </c>
      <c r="N58" s="593">
        <f t="shared" si="3"/>
        <v>48934037.564799994</v>
      </c>
      <c r="O58" s="593"/>
    </row>
    <row r="59" spans="1:15">
      <c r="A59" s="630">
        <v>43</v>
      </c>
      <c r="B59" s="631" t="s">
        <v>1060</v>
      </c>
      <c r="C59" s="630" t="s">
        <v>195</v>
      </c>
      <c r="D59" s="642">
        <v>0.38440000000000002</v>
      </c>
      <c r="E59" s="651">
        <v>0</v>
      </c>
      <c r="F59" s="599">
        <v>21046356</v>
      </c>
      <c r="G59" s="601">
        <f>+'Thuyết minh (đợt 1)'!Q84</f>
        <v>21193680</v>
      </c>
      <c r="H59" s="616">
        <v>8090219.2464000005</v>
      </c>
      <c r="I59" s="599">
        <v>0</v>
      </c>
      <c r="J59" s="599">
        <f t="shared" si="0"/>
        <v>0</v>
      </c>
      <c r="K59" s="692">
        <f t="shared" si="1"/>
        <v>0</v>
      </c>
      <c r="L59" s="604"/>
      <c r="M59" s="593">
        <f t="shared" si="2"/>
        <v>8090219.2464000005</v>
      </c>
      <c r="N59" s="593">
        <f t="shared" si="3"/>
        <v>8090219.2464000005</v>
      </c>
      <c r="O59" s="593"/>
    </row>
    <row r="60" spans="1:15">
      <c r="A60" s="630">
        <v>44</v>
      </c>
      <c r="B60" s="631" t="s">
        <v>1061</v>
      </c>
      <c r="C60" s="630" t="s">
        <v>195</v>
      </c>
      <c r="D60" s="642">
        <v>1.6392800000000001</v>
      </c>
      <c r="E60" s="651">
        <v>0</v>
      </c>
      <c r="F60" s="599">
        <v>18817954</v>
      </c>
      <c r="G60" s="601">
        <f>+'Thuyết minh (đợt 1)'!Q85</f>
        <v>18949680</v>
      </c>
      <c r="H60" s="616">
        <v>30847895.63312</v>
      </c>
      <c r="I60" s="599">
        <v>0</v>
      </c>
      <c r="J60" s="599">
        <f t="shared" si="0"/>
        <v>0</v>
      </c>
      <c r="K60" s="692">
        <f t="shared" si="1"/>
        <v>0</v>
      </c>
      <c r="L60" s="604"/>
      <c r="M60" s="593">
        <f t="shared" ref="M60:M91" si="4">+H60-K60</f>
        <v>30847895.63312</v>
      </c>
      <c r="N60" s="593">
        <f t="shared" si="3"/>
        <v>30847895.63312</v>
      </c>
      <c r="O60" s="593"/>
    </row>
    <row r="61" spans="1:15">
      <c r="A61" s="630">
        <v>45</v>
      </c>
      <c r="B61" s="631" t="s">
        <v>1062</v>
      </c>
      <c r="C61" s="630" t="s">
        <v>106</v>
      </c>
      <c r="D61" s="642">
        <v>5.8493000000000004</v>
      </c>
      <c r="E61" s="651">
        <v>0</v>
      </c>
      <c r="F61" s="599">
        <v>18108807</v>
      </c>
      <c r="G61" s="601">
        <f>+'Thuyết minh (đợt 1)'!Q86</f>
        <v>18235569</v>
      </c>
      <c r="H61" s="616">
        <v>105923844.78510001</v>
      </c>
      <c r="I61" s="599">
        <v>0</v>
      </c>
      <c r="J61" s="599">
        <f t="shared" si="0"/>
        <v>0</v>
      </c>
      <c r="K61" s="692">
        <f t="shared" si="1"/>
        <v>0</v>
      </c>
      <c r="L61" s="604"/>
      <c r="M61" s="593">
        <f t="shared" si="4"/>
        <v>105923844.78510001</v>
      </c>
      <c r="N61" s="593">
        <f t="shared" si="3"/>
        <v>105923844.78510001</v>
      </c>
      <c r="O61" s="593"/>
    </row>
    <row r="62" spans="1:15">
      <c r="A62" s="630">
        <v>46</v>
      </c>
      <c r="B62" s="631" t="s">
        <v>1063</v>
      </c>
      <c r="C62" s="630" t="s">
        <v>106</v>
      </c>
      <c r="D62" s="642">
        <v>5.8493000000000004</v>
      </c>
      <c r="E62" s="651">
        <v>0</v>
      </c>
      <c r="F62" s="599">
        <v>12267842</v>
      </c>
      <c r="G62" s="601">
        <f>+'Thuyết minh (đợt 1)'!Q87</f>
        <v>12341449</v>
      </c>
      <c r="H62" s="616">
        <v>71758288.210600004</v>
      </c>
      <c r="I62" s="599">
        <v>0</v>
      </c>
      <c r="J62" s="599">
        <f t="shared" si="0"/>
        <v>0</v>
      </c>
      <c r="K62" s="692">
        <f t="shared" si="1"/>
        <v>0</v>
      </c>
      <c r="L62" s="604"/>
      <c r="M62" s="593">
        <f t="shared" si="4"/>
        <v>71758288.210600004</v>
      </c>
      <c r="N62" s="593">
        <f t="shared" si="3"/>
        <v>71758288.210600004</v>
      </c>
      <c r="O62" s="593"/>
    </row>
    <row r="63" spans="1:15">
      <c r="A63" s="630" t="s">
        <v>902</v>
      </c>
      <c r="B63" s="631" t="s">
        <v>1064</v>
      </c>
      <c r="C63" s="630"/>
      <c r="D63" s="642"/>
      <c r="E63" s="651">
        <v>0</v>
      </c>
      <c r="F63" s="599">
        <v>0</v>
      </c>
      <c r="G63" s="601">
        <f>+'Thuyết minh (đợt 1)'!Q88</f>
        <v>0</v>
      </c>
      <c r="H63" s="616">
        <v>0</v>
      </c>
      <c r="I63" s="599">
        <v>0</v>
      </c>
      <c r="J63" s="599">
        <f t="shared" si="0"/>
        <v>0</v>
      </c>
      <c r="K63" s="692">
        <f t="shared" si="1"/>
        <v>0</v>
      </c>
      <c r="L63" s="604"/>
      <c r="M63" s="593">
        <f t="shared" si="4"/>
        <v>0</v>
      </c>
      <c r="N63" s="593">
        <f t="shared" ref="N63:N94" si="5">+H63-K63</f>
        <v>0</v>
      </c>
      <c r="O63" s="593"/>
    </row>
    <row r="64" spans="1:15" ht="30">
      <c r="A64" s="630">
        <v>47</v>
      </c>
      <c r="B64" s="631" t="s">
        <v>1065</v>
      </c>
      <c r="C64" s="630" t="s">
        <v>30</v>
      </c>
      <c r="D64" s="642">
        <v>0.23760000000000001</v>
      </c>
      <c r="E64" s="651">
        <v>0</v>
      </c>
      <c r="F64" s="599">
        <v>1650615</v>
      </c>
      <c r="G64" s="601">
        <f>+'Thuyết minh (đợt 1)'!Q89</f>
        <v>1662169</v>
      </c>
      <c r="H64" s="616">
        <v>392186.12400000001</v>
      </c>
      <c r="I64" s="599">
        <v>0</v>
      </c>
      <c r="J64" s="599">
        <f t="shared" si="0"/>
        <v>0</v>
      </c>
      <c r="K64" s="692">
        <f t="shared" si="1"/>
        <v>0</v>
      </c>
      <c r="L64" s="604"/>
      <c r="M64" s="593">
        <f t="shared" si="4"/>
        <v>392186.12400000001</v>
      </c>
      <c r="N64" s="593">
        <f t="shared" si="5"/>
        <v>392186.12400000001</v>
      </c>
      <c r="O64" s="593"/>
    </row>
    <row r="65" spans="1:15" ht="30">
      <c r="A65" s="630">
        <v>48</v>
      </c>
      <c r="B65" s="631" t="s">
        <v>1066</v>
      </c>
      <c r="C65" s="630" t="s">
        <v>30</v>
      </c>
      <c r="D65" s="642">
        <v>1.0691999999999999</v>
      </c>
      <c r="E65" s="651">
        <v>0</v>
      </c>
      <c r="F65" s="599">
        <v>1879821</v>
      </c>
      <c r="G65" s="601">
        <f>+'Thuyết minh (đợt 1)'!Q90</f>
        <v>1892980</v>
      </c>
      <c r="H65" s="616">
        <v>2009904.6131999998</v>
      </c>
      <c r="I65" s="599">
        <v>0</v>
      </c>
      <c r="J65" s="599">
        <f t="shared" si="0"/>
        <v>0</v>
      </c>
      <c r="K65" s="692">
        <f t="shared" si="1"/>
        <v>0</v>
      </c>
      <c r="L65" s="604"/>
      <c r="M65" s="593">
        <f t="shared" si="4"/>
        <v>2009904.6131999998</v>
      </c>
      <c r="N65" s="593">
        <f t="shared" si="5"/>
        <v>2009904.6131999998</v>
      </c>
      <c r="O65" s="593"/>
    </row>
    <row r="66" spans="1:15">
      <c r="A66" s="630">
        <v>49</v>
      </c>
      <c r="B66" s="631" t="s">
        <v>1067</v>
      </c>
      <c r="C66" s="630" t="s">
        <v>30</v>
      </c>
      <c r="D66" s="642">
        <v>4.2792000000000003</v>
      </c>
      <c r="E66" s="651">
        <v>0</v>
      </c>
      <c r="F66" s="599">
        <v>2071335</v>
      </c>
      <c r="G66" s="601">
        <f>+'Thuyết minh (đợt 1)'!Q91</f>
        <v>2083763</v>
      </c>
      <c r="H66" s="616">
        <v>8863656.7320000008</v>
      </c>
      <c r="I66" s="599">
        <v>0</v>
      </c>
      <c r="J66" s="599">
        <f t="shared" si="0"/>
        <v>0</v>
      </c>
      <c r="K66" s="692">
        <f t="shared" si="1"/>
        <v>0</v>
      </c>
      <c r="L66" s="604"/>
      <c r="M66" s="593">
        <f t="shared" si="4"/>
        <v>8863656.7320000008</v>
      </c>
      <c r="N66" s="593">
        <f t="shared" si="5"/>
        <v>8863656.7320000008</v>
      </c>
      <c r="O66" s="593"/>
    </row>
    <row r="67" spans="1:15">
      <c r="A67" s="630">
        <v>50</v>
      </c>
      <c r="B67" s="631" t="s">
        <v>1068</v>
      </c>
      <c r="C67" s="630" t="s">
        <v>30</v>
      </c>
      <c r="D67" s="642">
        <v>2.6712000000000002</v>
      </c>
      <c r="E67" s="651">
        <v>0</v>
      </c>
      <c r="F67" s="599">
        <v>2167802</v>
      </c>
      <c r="G67" s="601">
        <f>+'Thuyết minh (đợt 1)'!Q92</f>
        <v>2178641</v>
      </c>
      <c r="H67" s="616">
        <v>5790632.7024000008</v>
      </c>
      <c r="I67" s="599">
        <v>0</v>
      </c>
      <c r="J67" s="599">
        <f t="shared" si="0"/>
        <v>0</v>
      </c>
      <c r="K67" s="692">
        <f t="shared" si="1"/>
        <v>0</v>
      </c>
      <c r="L67" s="604"/>
      <c r="M67" s="593">
        <f t="shared" si="4"/>
        <v>5790632.7024000008</v>
      </c>
      <c r="N67" s="593">
        <f t="shared" si="5"/>
        <v>5790632.7024000008</v>
      </c>
      <c r="O67" s="593"/>
    </row>
    <row r="68" spans="1:15" ht="30">
      <c r="A68" s="630">
        <v>51</v>
      </c>
      <c r="B68" s="631" t="s">
        <v>1069</v>
      </c>
      <c r="C68" s="630" t="s">
        <v>67</v>
      </c>
      <c r="D68" s="642">
        <v>5.0220000000000001E-2</v>
      </c>
      <c r="E68" s="651">
        <v>0</v>
      </c>
      <c r="F68" s="599">
        <v>4745755</v>
      </c>
      <c r="G68" s="601">
        <f>+'Thuyết minh (đợt 1)'!Q93</f>
        <v>4759992</v>
      </c>
      <c r="H68" s="616">
        <v>238331.8161</v>
      </c>
      <c r="I68" s="599">
        <v>0</v>
      </c>
      <c r="J68" s="599">
        <f t="shared" si="0"/>
        <v>0</v>
      </c>
      <c r="K68" s="692">
        <f t="shared" si="1"/>
        <v>0</v>
      </c>
      <c r="L68" s="604"/>
      <c r="M68" s="593">
        <f t="shared" si="4"/>
        <v>238331.8161</v>
      </c>
      <c r="N68" s="593">
        <f t="shared" si="5"/>
        <v>238331.8161</v>
      </c>
      <c r="O68" s="593"/>
    </row>
    <row r="69" spans="1:15">
      <c r="A69" s="630">
        <v>52</v>
      </c>
      <c r="B69" s="631" t="s">
        <v>1070</v>
      </c>
      <c r="C69" s="630" t="s">
        <v>67</v>
      </c>
      <c r="D69" s="642">
        <v>0.56303999999999998</v>
      </c>
      <c r="E69" s="651">
        <v>0</v>
      </c>
      <c r="F69" s="599">
        <v>16796784</v>
      </c>
      <c r="G69" s="601">
        <f>+'Thuyết minh (đợt 1)'!Q94</f>
        <v>16863971</v>
      </c>
      <c r="H69" s="616">
        <v>9457261.2633599993</v>
      </c>
      <c r="I69" s="599">
        <v>0</v>
      </c>
      <c r="J69" s="599">
        <f t="shared" si="0"/>
        <v>0</v>
      </c>
      <c r="K69" s="692">
        <f t="shared" si="1"/>
        <v>0</v>
      </c>
      <c r="L69" s="604"/>
      <c r="M69" s="593">
        <f t="shared" si="4"/>
        <v>9457261.2633599993</v>
      </c>
      <c r="N69" s="593">
        <f t="shared" si="5"/>
        <v>9457261.2633599993</v>
      </c>
      <c r="O69" s="593"/>
    </row>
    <row r="70" spans="1:15">
      <c r="A70" s="630">
        <v>53</v>
      </c>
      <c r="B70" s="631" t="s">
        <v>1071</v>
      </c>
      <c r="C70" s="630" t="s">
        <v>67</v>
      </c>
      <c r="D70" s="642">
        <v>0.17640000000000003</v>
      </c>
      <c r="E70" s="651">
        <v>0</v>
      </c>
      <c r="F70" s="599">
        <v>27264223</v>
      </c>
      <c r="G70" s="601">
        <f>+'Thuyết minh (đợt 1)'!Q95</f>
        <v>27400544</v>
      </c>
      <c r="H70" s="616">
        <v>4809408.9372000005</v>
      </c>
      <c r="I70" s="599">
        <v>0</v>
      </c>
      <c r="J70" s="599">
        <f t="shared" si="0"/>
        <v>0</v>
      </c>
      <c r="K70" s="692">
        <f t="shared" si="1"/>
        <v>0</v>
      </c>
      <c r="L70" s="604"/>
      <c r="M70" s="593">
        <f t="shared" si="4"/>
        <v>4809408.9372000005</v>
      </c>
      <c r="N70" s="593">
        <f t="shared" si="5"/>
        <v>4809408.9372000005</v>
      </c>
      <c r="O70" s="593"/>
    </row>
    <row r="71" spans="1:15">
      <c r="A71" s="630">
        <v>54</v>
      </c>
      <c r="B71" s="631" t="s">
        <v>1072</v>
      </c>
      <c r="C71" s="630" t="s">
        <v>195</v>
      </c>
      <c r="D71" s="642">
        <v>2.2200000000000004E-2</v>
      </c>
      <c r="E71" s="651">
        <v>0</v>
      </c>
      <c r="F71" s="599">
        <v>18000278</v>
      </c>
      <c r="G71" s="601">
        <f>+'Thuyết minh (đợt 1)'!Q96</f>
        <v>18126280</v>
      </c>
      <c r="H71" s="616">
        <v>399606.17160000006</v>
      </c>
      <c r="I71" s="599">
        <v>0</v>
      </c>
      <c r="J71" s="599">
        <f t="shared" si="0"/>
        <v>0</v>
      </c>
      <c r="K71" s="692">
        <f t="shared" si="1"/>
        <v>0</v>
      </c>
      <c r="L71" s="604"/>
      <c r="M71" s="593">
        <f t="shared" si="4"/>
        <v>399606.17160000006</v>
      </c>
      <c r="N71" s="593">
        <f t="shared" si="5"/>
        <v>399606.17160000006</v>
      </c>
      <c r="O71" s="593"/>
    </row>
    <row r="72" spans="1:15">
      <c r="A72" s="630">
        <v>55</v>
      </c>
      <c r="B72" s="631" t="s">
        <v>1073</v>
      </c>
      <c r="C72" s="630" t="s">
        <v>195</v>
      </c>
      <c r="D72" s="642">
        <v>0.11903999999999999</v>
      </c>
      <c r="E72" s="651">
        <v>0</v>
      </c>
      <c r="F72" s="599">
        <v>19258747</v>
      </c>
      <c r="G72" s="601">
        <f>+'Thuyết minh (đợt 1)'!Q97</f>
        <v>19412817</v>
      </c>
      <c r="H72" s="616">
        <v>2292561.2428799998</v>
      </c>
      <c r="I72" s="599">
        <v>0</v>
      </c>
      <c r="J72" s="599">
        <f t="shared" si="0"/>
        <v>0</v>
      </c>
      <c r="K72" s="692">
        <f t="shared" si="1"/>
        <v>0</v>
      </c>
      <c r="L72" s="604"/>
      <c r="M72" s="593">
        <f t="shared" si="4"/>
        <v>2292561.2428799998</v>
      </c>
      <c r="N72" s="593">
        <f t="shared" si="5"/>
        <v>2292561.2428799998</v>
      </c>
      <c r="O72" s="593"/>
    </row>
    <row r="73" spans="1:15">
      <c r="A73" s="630">
        <v>56</v>
      </c>
      <c r="B73" s="631" t="s">
        <v>1074</v>
      </c>
      <c r="C73" s="630" t="s">
        <v>195</v>
      </c>
      <c r="D73" s="642">
        <v>0.186</v>
      </c>
      <c r="E73" s="651">
        <v>0</v>
      </c>
      <c r="F73" s="599">
        <v>18762541</v>
      </c>
      <c r="G73" s="601">
        <f>+'Thuyết minh (đợt 1)'!Q98</f>
        <v>18893879</v>
      </c>
      <c r="H73" s="616">
        <v>3489832.6260000002</v>
      </c>
      <c r="I73" s="599">
        <v>0</v>
      </c>
      <c r="J73" s="599">
        <f t="shared" si="0"/>
        <v>0</v>
      </c>
      <c r="K73" s="692">
        <f t="shared" si="1"/>
        <v>0</v>
      </c>
      <c r="L73" s="604"/>
      <c r="M73" s="593">
        <f t="shared" si="4"/>
        <v>3489832.6260000002</v>
      </c>
      <c r="N73" s="593">
        <f t="shared" si="5"/>
        <v>3489832.6260000002</v>
      </c>
      <c r="O73" s="593"/>
    </row>
    <row r="74" spans="1:15">
      <c r="A74" s="630">
        <v>57</v>
      </c>
      <c r="B74" s="631" t="s">
        <v>1075</v>
      </c>
      <c r="C74" s="630" t="s">
        <v>195</v>
      </c>
      <c r="D74" s="642">
        <v>0.57150000000000001</v>
      </c>
      <c r="E74" s="651">
        <v>0</v>
      </c>
      <c r="F74" s="599">
        <v>19877397</v>
      </c>
      <c r="G74" s="601">
        <f>+'Thuyết minh (đợt 1)'!Q99</f>
        <v>20016539</v>
      </c>
      <c r="H74" s="616">
        <v>11359932.385500001</v>
      </c>
      <c r="I74" s="599">
        <v>0</v>
      </c>
      <c r="J74" s="599">
        <f t="shared" si="0"/>
        <v>0</v>
      </c>
      <c r="K74" s="692">
        <f t="shared" si="1"/>
        <v>0</v>
      </c>
      <c r="L74" s="604"/>
      <c r="M74" s="593">
        <f t="shared" si="4"/>
        <v>11359932.385500001</v>
      </c>
      <c r="N74" s="593">
        <f t="shared" si="5"/>
        <v>11359932.385500001</v>
      </c>
      <c r="O74" s="593"/>
    </row>
    <row r="75" spans="1:15">
      <c r="A75" s="630">
        <v>58</v>
      </c>
      <c r="B75" s="631" t="s">
        <v>1063</v>
      </c>
      <c r="C75" s="630" t="s">
        <v>106</v>
      </c>
      <c r="D75" s="642">
        <v>0.84</v>
      </c>
      <c r="E75" s="651">
        <v>0</v>
      </c>
      <c r="F75" s="599">
        <v>12267842</v>
      </c>
      <c r="G75" s="601">
        <f>+'Thuyết minh (đợt 1)'!Q100</f>
        <v>12341449</v>
      </c>
      <c r="H75" s="616">
        <v>10304987.279999999</v>
      </c>
      <c r="I75" s="599">
        <v>0</v>
      </c>
      <c r="J75" s="599">
        <f t="shared" si="0"/>
        <v>0</v>
      </c>
      <c r="K75" s="692">
        <f t="shared" si="1"/>
        <v>0</v>
      </c>
      <c r="L75" s="604"/>
      <c r="M75" s="593">
        <f t="shared" si="4"/>
        <v>10304987.279999999</v>
      </c>
      <c r="N75" s="593">
        <f t="shared" si="5"/>
        <v>10304987.279999999</v>
      </c>
      <c r="O75" s="593"/>
    </row>
    <row r="76" spans="1:15">
      <c r="A76" s="630">
        <v>59</v>
      </c>
      <c r="B76" s="631" t="s">
        <v>1076</v>
      </c>
      <c r="C76" s="630" t="s">
        <v>195</v>
      </c>
      <c r="D76" s="642">
        <v>3.8400000000000004E-2</v>
      </c>
      <c r="E76" s="651">
        <v>0</v>
      </c>
      <c r="F76" s="599">
        <v>33081246</v>
      </c>
      <c r="G76" s="601">
        <f>+'Thuyết minh (đợt 1)'!Q101</f>
        <v>33246652</v>
      </c>
      <c r="H76" s="616">
        <v>1270319.8464000002</v>
      </c>
      <c r="I76" s="599">
        <v>0</v>
      </c>
      <c r="J76" s="599">
        <f t="shared" si="0"/>
        <v>0</v>
      </c>
      <c r="K76" s="692">
        <f t="shared" si="1"/>
        <v>0</v>
      </c>
      <c r="L76" s="604"/>
      <c r="M76" s="593">
        <f t="shared" si="4"/>
        <v>1270319.8464000002</v>
      </c>
      <c r="N76" s="593">
        <f t="shared" si="5"/>
        <v>1270319.8464000002</v>
      </c>
      <c r="O76" s="593"/>
    </row>
    <row r="77" spans="1:15">
      <c r="A77" s="630">
        <v>60</v>
      </c>
      <c r="B77" s="631" t="s">
        <v>1077</v>
      </c>
      <c r="C77" s="630" t="s">
        <v>210</v>
      </c>
      <c r="D77" s="642">
        <v>240</v>
      </c>
      <c r="E77" s="651">
        <v>0</v>
      </c>
      <c r="F77" s="599">
        <v>4873</v>
      </c>
      <c r="G77" s="601">
        <f>+'Thuyết minh (đợt 1)'!Q102</f>
        <v>4917</v>
      </c>
      <c r="H77" s="616">
        <v>1169520</v>
      </c>
      <c r="I77" s="599">
        <v>0</v>
      </c>
      <c r="J77" s="599">
        <f t="shared" si="0"/>
        <v>0</v>
      </c>
      <c r="K77" s="692">
        <f t="shared" si="1"/>
        <v>0</v>
      </c>
      <c r="L77" s="604"/>
      <c r="M77" s="593">
        <f t="shared" si="4"/>
        <v>1169520</v>
      </c>
      <c r="N77" s="593">
        <f t="shared" si="5"/>
        <v>1169520</v>
      </c>
      <c r="O77" s="593"/>
    </row>
    <row r="78" spans="1:15">
      <c r="A78" s="630">
        <v>61</v>
      </c>
      <c r="B78" s="631" t="s">
        <v>1078</v>
      </c>
      <c r="C78" s="630" t="s">
        <v>210</v>
      </c>
      <c r="D78" s="642">
        <v>240</v>
      </c>
      <c r="E78" s="651">
        <v>0</v>
      </c>
      <c r="F78" s="599">
        <v>14145</v>
      </c>
      <c r="G78" s="601">
        <f>+'Thuyết minh (đợt 1)'!Q103</f>
        <v>14145</v>
      </c>
      <c r="H78" s="616">
        <v>3394800</v>
      </c>
      <c r="I78" s="599">
        <v>0</v>
      </c>
      <c r="J78" s="599">
        <f t="shared" si="0"/>
        <v>0</v>
      </c>
      <c r="K78" s="692">
        <f t="shared" si="1"/>
        <v>0</v>
      </c>
      <c r="L78" s="604"/>
      <c r="M78" s="593">
        <f t="shared" si="4"/>
        <v>3394800</v>
      </c>
      <c r="N78" s="593">
        <f t="shared" si="5"/>
        <v>3394800</v>
      </c>
      <c r="O78" s="593"/>
    </row>
    <row r="79" spans="1:15">
      <c r="A79" s="630" t="s">
        <v>903</v>
      </c>
      <c r="B79" s="631" t="s">
        <v>1079</v>
      </c>
      <c r="C79" s="630"/>
      <c r="D79" s="642">
        <v>0</v>
      </c>
      <c r="E79" s="651">
        <v>0</v>
      </c>
      <c r="F79" s="599">
        <v>0</v>
      </c>
      <c r="G79" s="601">
        <f>+'Thuyết minh (đợt 1)'!Q104</f>
        <v>0</v>
      </c>
      <c r="H79" s="616">
        <v>0</v>
      </c>
      <c r="I79" s="599">
        <v>0</v>
      </c>
      <c r="J79" s="599">
        <f t="shared" si="0"/>
        <v>0</v>
      </c>
      <c r="K79" s="692">
        <f t="shared" si="1"/>
        <v>0</v>
      </c>
      <c r="L79" s="604"/>
      <c r="M79" s="593">
        <f t="shared" si="4"/>
        <v>0</v>
      </c>
      <c r="N79" s="593">
        <f t="shared" si="5"/>
        <v>0</v>
      </c>
      <c r="O79" s="593"/>
    </row>
    <row r="80" spans="1:15" ht="30">
      <c r="A80" s="630">
        <v>62</v>
      </c>
      <c r="B80" s="631" t="s">
        <v>1080</v>
      </c>
      <c r="C80" s="630" t="s">
        <v>90</v>
      </c>
      <c r="D80" s="642">
        <v>435.298</v>
      </c>
      <c r="E80" s="651">
        <v>0</v>
      </c>
      <c r="F80" s="599">
        <v>1281125</v>
      </c>
      <c r="G80" s="601">
        <f>+'Thuyết minh (đợt 1)'!Q105</f>
        <v>1292655</v>
      </c>
      <c r="H80" s="616">
        <v>557671150.25</v>
      </c>
      <c r="I80" s="599">
        <v>0</v>
      </c>
      <c r="J80" s="599">
        <f t="shared" si="0"/>
        <v>0</v>
      </c>
      <c r="K80" s="692">
        <f t="shared" si="1"/>
        <v>0</v>
      </c>
      <c r="L80" s="604"/>
      <c r="M80" s="593">
        <f t="shared" si="4"/>
        <v>557671150.25</v>
      </c>
      <c r="N80" s="593">
        <f t="shared" si="5"/>
        <v>557671150.25</v>
      </c>
      <c r="O80" s="593"/>
    </row>
    <row r="81" spans="1:15" ht="30">
      <c r="A81" s="630">
        <v>63</v>
      </c>
      <c r="B81" s="631" t="s">
        <v>1081</v>
      </c>
      <c r="C81" s="630" t="s">
        <v>106</v>
      </c>
      <c r="D81" s="642">
        <v>69.72</v>
      </c>
      <c r="E81" s="651">
        <v>0</v>
      </c>
      <c r="F81" s="599">
        <v>35345168</v>
      </c>
      <c r="G81" s="601">
        <f>+'Thuyết minh (đợt 1)'!Q106</f>
        <v>35203787</v>
      </c>
      <c r="H81" s="616">
        <v>2464265112.96</v>
      </c>
      <c r="I81" s="599">
        <v>0</v>
      </c>
      <c r="J81" s="599">
        <f t="shared" si="0"/>
        <v>0</v>
      </c>
      <c r="K81" s="692">
        <f t="shared" si="1"/>
        <v>0</v>
      </c>
      <c r="L81" s="604"/>
      <c r="M81" s="593">
        <f t="shared" si="4"/>
        <v>2464265112.96</v>
      </c>
      <c r="N81" s="593">
        <f t="shared" si="5"/>
        <v>2464265112.96</v>
      </c>
      <c r="O81" s="593"/>
    </row>
    <row r="82" spans="1:15" ht="30">
      <c r="A82" s="630">
        <v>64</v>
      </c>
      <c r="B82" s="631" t="s">
        <v>1082</v>
      </c>
      <c r="C82" s="630" t="s">
        <v>106</v>
      </c>
      <c r="D82" s="642">
        <v>34.86</v>
      </c>
      <c r="E82" s="651">
        <v>0</v>
      </c>
      <c r="F82" s="599">
        <v>26508876</v>
      </c>
      <c r="G82" s="601">
        <f>+'Thuyết minh (đợt 1)'!Q107</f>
        <v>26402840</v>
      </c>
      <c r="H82" s="616">
        <v>924099417.36000001</v>
      </c>
      <c r="I82" s="599">
        <v>0</v>
      </c>
      <c r="J82" s="599">
        <f t="shared" si="0"/>
        <v>0</v>
      </c>
      <c r="K82" s="692">
        <f t="shared" si="1"/>
        <v>0</v>
      </c>
      <c r="L82" s="604"/>
      <c r="M82" s="593">
        <f t="shared" si="4"/>
        <v>924099417.36000001</v>
      </c>
      <c r="N82" s="593">
        <f t="shared" si="5"/>
        <v>924099417.36000001</v>
      </c>
      <c r="O82" s="593"/>
    </row>
    <row r="83" spans="1:15" ht="45">
      <c r="A83" s="630">
        <v>65</v>
      </c>
      <c r="B83" s="631" t="s">
        <v>1083</v>
      </c>
      <c r="C83" s="630" t="s">
        <v>90</v>
      </c>
      <c r="D83" s="642">
        <v>5.8819999999999997</v>
      </c>
      <c r="E83" s="651">
        <v>0</v>
      </c>
      <c r="F83" s="599">
        <v>370476</v>
      </c>
      <c r="G83" s="601">
        <f>+'Thuyết minh (đợt 1)'!Q108</f>
        <v>373810</v>
      </c>
      <c r="H83" s="616">
        <v>2179139.8319999999</v>
      </c>
      <c r="I83" s="599">
        <v>0</v>
      </c>
      <c r="J83" s="599">
        <f t="shared" ref="J83:J111" si="6">+E83*G83</f>
        <v>0</v>
      </c>
      <c r="K83" s="692">
        <f t="shared" ref="K83:K119" si="7">+J83-I83</f>
        <v>0</v>
      </c>
      <c r="L83" s="604"/>
      <c r="M83" s="593">
        <f t="shared" si="4"/>
        <v>2179139.8319999999</v>
      </c>
      <c r="N83" s="593">
        <f t="shared" si="5"/>
        <v>2179139.8319999999</v>
      </c>
      <c r="O83" s="593"/>
    </row>
    <row r="84" spans="1:15" ht="30">
      <c r="A84" s="630">
        <v>66</v>
      </c>
      <c r="B84" s="631" t="s">
        <v>1084</v>
      </c>
      <c r="C84" s="630" t="s">
        <v>106</v>
      </c>
      <c r="D84" s="642">
        <v>0.96</v>
      </c>
      <c r="E84" s="651">
        <v>0</v>
      </c>
      <c r="F84" s="599">
        <v>24552400</v>
      </c>
      <c r="G84" s="601">
        <f>+'Thuyết minh (đợt 1)'!Q109</f>
        <v>24454190</v>
      </c>
      <c r="H84" s="616">
        <v>23570304</v>
      </c>
      <c r="I84" s="599">
        <v>0</v>
      </c>
      <c r="J84" s="599">
        <f t="shared" si="6"/>
        <v>0</v>
      </c>
      <c r="K84" s="692">
        <f t="shared" si="7"/>
        <v>0</v>
      </c>
      <c r="L84" s="604"/>
      <c r="M84" s="593">
        <f t="shared" si="4"/>
        <v>23570304</v>
      </c>
      <c r="N84" s="593">
        <f t="shared" si="5"/>
        <v>23570304</v>
      </c>
      <c r="O84" s="593"/>
    </row>
    <row r="85" spans="1:15" ht="30">
      <c r="A85" s="630">
        <v>67</v>
      </c>
      <c r="B85" s="631" t="s">
        <v>1085</v>
      </c>
      <c r="C85" s="630" t="s">
        <v>106</v>
      </c>
      <c r="D85" s="642">
        <v>0.48</v>
      </c>
      <c r="E85" s="651">
        <v>0</v>
      </c>
      <c r="F85" s="599">
        <v>18414301</v>
      </c>
      <c r="G85" s="601">
        <f>+'Thuyết minh (đợt 1)'!Q110</f>
        <v>18340644</v>
      </c>
      <c r="H85" s="616">
        <v>8838864.4800000004</v>
      </c>
      <c r="I85" s="599">
        <v>0</v>
      </c>
      <c r="J85" s="599">
        <f t="shared" si="6"/>
        <v>0</v>
      </c>
      <c r="K85" s="692">
        <f t="shared" si="7"/>
        <v>0</v>
      </c>
      <c r="L85" s="604"/>
      <c r="M85" s="593">
        <f t="shared" si="4"/>
        <v>8838864.4800000004</v>
      </c>
      <c r="N85" s="593">
        <f t="shared" si="5"/>
        <v>8838864.4800000004</v>
      </c>
      <c r="O85" s="593"/>
    </row>
    <row r="86" spans="1:15" ht="30">
      <c r="A86" s="630">
        <v>68</v>
      </c>
      <c r="B86" s="631" t="s">
        <v>1086</v>
      </c>
      <c r="C86" s="630" t="s">
        <v>90</v>
      </c>
      <c r="D86" s="642">
        <v>60.671999999999997</v>
      </c>
      <c r="E86" s="651">
        <v>0</v>
      </c>
      <c r="F86" s="599">
        <v>642194</v>
      </c>
      <c r="G86" s="601">
        <f>+'Thuyết minh (đợt 1)'!Q111</f>
        <v>647974</v>
      </c>
      <c r="H86" s="616">
        <v>38963194.368000001</v>
      </c>
      <c r="I86" s="599">
        <v>0</v>
      </c>
      <c r="J86" s="599">
        <f t="shared" si="6"/>
        <v>0</v>
      </c>
      <c r="K86" s="692">
        <f t="shared" si="7"/>
        <v>0</v>
      </c>
      <c r="L86" s="604"/>
      <c r="M86" s="593">
        <f t="shared" si="4"/>
        <v>38963194.368000001</v>
      </c>
      <c r="N86" s="593">
        <f t="shared" si="5"/>
        <v>38963194.368000001</v>
      </c>
      <c r="O86" s="593"/>
    </row>
    <row r="87" spans="1:15">
      <c r="A87" s="630">
        <v>69</v>
      </c>
      <c r="B87" s="631" t="s">
        <v>1087</v>
      </c>
      <c r="C87" s="630" t="s">
        <v>195</v>
      </c>
      <c r="D87" s="642">
        <v>1.54569</v>
      </c>
      <c r="E87" s="651">
        <v>0</v>
      </c>
      <c r="F87" s="599">
        <v>10392850</v>
      </c>
      <c r="G87" s="601">
        <f>+'Thuyết minh (đợt 1)'!Q112</f>
        <v>10392850</v>
      </c>
      <c r="H87" s="616">
        <v>16064124.316500001</v>
      </c>
      <c r="I87" s="599">
        <v>0</v>
      </c>
      <c r="J87" s="599">
        <f t="shared" si="6"/>
        <v>0</v>
      </c>
      <c r="K87" s="692">
        <f t="shared" si="7"/>
        <v>0</v>
      </c>
      <c r="L87" s="604"/>
      <c r="M87" s="593">
        <f t="shared" si="4"/>
        <v>16064124.316500001</v>
      </c>
      <c r="N87" s="593">
        <f t="shared" si="5"/>
        <v>16064124.316500001</v>
      </c>
      <c r="O87" s="593"/>
    </row>
    <row r="88" spans="1:15" ht="30">
      <c r="A88" s="630">
        <v>70</v>
      </c>
      <c r="B88" s="631" t="s">
        <v>1088</v>
      </c>
      <c r="C88" s="630" t="s">
        <v>195</v>
      </c>
      <c r="D88" s="642">
        <v>27.28</v>
      </c>
      <c r="E88" s="651">
        <v>0</v>
      </c>
      <c r="F88" s="599">
        <v>6160609</v>
      </c>
      <c r="G88" s="601">
        <f>+'Thuyết minh (đợt 1)'!Q113</f>
        <v>6154448</v>
      </c>
      <c r="H88" s="616">
        <v>168061413.52000001</v>
      </c>
      <c r="I88" s="599">
        <v>0</v>
      </c>
      <c r="J88" s="599">
        <f t="shared" si="6"/>
        <v>0</v>
      </c>
      <c r="K88" s="692">
        <f t="shared" si="7"/>
        <v>0</v>
      </c>
      <c r="L88" s="604"/>
      <c r="M88" s="593">
        <f t="shared" si="4"/>
        <v>168061413.52000001</v>
      </c>
      <c r="N88" s="593">
        <f t="shared" si="5"/>
        <v>168061413.52000001</v>
      </c>
      <c r="O88" s="593"/>
    </row>
    <row r="89" spans="1:15">
      <c r="A89" s="630">
        <v>71</v>
      </c>
      <c r="B89" s="631" t="s">
        <v>1089</v>
      </c>
      <c r="C89" s="630" t="s">
        <v>106</v>
      </c>
      <c r="D89" s="642">
        <v>69.72</v>
      </c>
      <c r="E89" s="651">
        <v>0</v>
      </c>
      <c r="F89" s="599">
        <v>19555051</v>
      </c>
      <c r="G89" s="601">
        <f>+'Thuyết minh (đợt 1)'!Q114</f>
        <v>19476831</v>
      </c>
      <c r="H89" s="616">
        <v>1363378155.72</v>
      </c>
      <c r="I89" s="599">
        <v>0</v>
      </c>
      <c r="J89" s="599">
        <f t="shared" si="6"/>
        <v>0</v>
      </c>
      <c r="K89" s="692">
        <f t="shared" si="7"/>
        <v>0</v>
      </c>
      <c r="L89" s="604"/>
      <c r="M89" s="593">
        <f t="shared" si="4"/>
        <v>1363378155.72</v>
      </c>
      <c r="N89" s="593">
        <f t="shared" si="5"/>
        <v>1363378155.72</v>
      </c>
      <c r="O89" s="593"/>
    </row>
    <row r="90" spans="1:15">
      <c r="A90" s="630">
        <v>72</v>
      </c>
      <c r="B90" s="631" t="s">
        <v>1090</v>
      </c>
      <c r="C90" s="630" t="s">
        <v>106</v>
      </c>
      <c r="D90" s="642">
        <v>34.86</v>
      </c>
      <c r="E90" s="651">
        <v>0</v>
      </c>
      <c r="F90" s="599">
        <v>14666288</v>
      </c>
      <c r="G90" s="601">
        <f>+'Thuyết minh (đợt 1)'!Q115</f>
        <v>14607623</v>
      </c>
      <c r="H90" s="616">
        <v>511266799.68000001</v>
      </c>
      <c r="I90" s="599">
        <v>0</v>
      </c>
      <c r="J90" s="599">
        <f t="shared" si="6"/>
        <v>0</v>
      </c>
      <c r="K90" s="692">
        <f t="shared" si="7"/>
        <v>0</v>
      </c>
      <c r="L90" s="604"/>
      <c r="M90" s="593">
        <f t="shared" si="4"/>
        <v>511266799.68000001</v>
      </c>
      <c r="N90" s="593">
        <f t="shared" si="5"/>
        <v>511266799.68000001</v>
      </c>
      <c r="O90" s="593"/>
    </row>
    <row r="91" spans="1:15" ht="30">
      <c r="A91" s="630">
        <v>73</v>
      </c>
      <c r="B91" s="631" t="s">
        <v>1091</v>
      </c>
      <c r="C91" s="630" t="s">
        <v>106</v>
      </c>
      <c r="D91" s="642">
        <v>0.96</v>
      </c>
      <c r="E91" s="651">
        <v>0</v>
      </c>
      <c r="F91" s="599">
        <v>9935186</v>
      </c>
      <c r="G91" s="601">
        <f>+'Thuyết minh (đợt 1)'!Q116</f>
        <v>9895445</v>
      </c>
      <c r="H91" s="616">
        <v>9537778.5600000005</v>
      </c>
      <c r="I91" s="599">
        <v>0</v>
      </c>
      <c r="J91" s="599">
        <f t="shared" si="6"/>
        <v>0</v>
      </c>
      <c r="K91" s="692">
        <f t="shared" si="7"/>
        <v>0</v>
      </c>
      <c r="L91" s="604"/>
      <c r="M91" s="593">
        <f t="shared" si="4"/>
        <v>9537778.5600000005</v>
      </c>
      <c r="N91" s="593">
        <f t="shared" si="5"/>
        <v>9537778.5600000005</v>
      </c>
      <c r="O91" s="593"/>
    </row>
    <row r="92" spans="1:15" ht="30">
      <c r="A92" s="630">
        <v>74</v>
      </c>
      <c r="B92" s="631" t="s">
        <v>1092</v>
      </c>
      <c r="C92" s="630" t="s">
        <v>106</v>
      </c>
      <c r="D92" s="642">
        <v>0.48</v>
      </c>
      <c r="E92" s="651">
        <v>0</v>
      </c>
      <c r="F92" s="599">
        <v>7451389</v>
      </c>
      <c r="G92" s="601">
        <f>+'Thuyết minh (đợt 1)'!Q117</f>
        <v>7421583</v>
      </c>
      <c r="H92" s="616">
        <v>3576666.7199999997</v>
      </c>
      <c r="I92" s="599">
        <v>0</v>
      </c>
      <c r="J92" s="599">
        <f t="shared" si="6"/>
        <v>0</v>
      </c>
      <c r="K92" s="692">
        <f t="shared" si="7"/>
        <v>0</v>
      </c>
      <c r="L92" s="604"/>
      <c r="M92" s="593">
        <f t="shared" ref="M92:M119" si="8">+H92-K92</f>
        <v>3576666.7199999997</v>
      </c>
      <c r="N92" s="593">
        <f t="shared" si="5"/>
        <v>3576666.7199999997</v>
      </c>
      <c r="O92" s="593"/>
    </row>
    <row r="93" spans="1:15">
      <c r="A93" s="630">
        <v>75</v>
      </c>
      <c r="B93" s="631" t="s">
        <v>1093</v>
      </c>
      <c r="C93" s="630" t="s">
        <v>195</v>
      </c>
      <c r="D93" s="642">
        <v>27.28</v>
      </c>
      <c r="E93" s="651">
        <v>0</v>
      </c>
      <c r="F93" s="599">
        <v>3696366</v>
      </c>
      <c r="G93" s="601">
        <f>+'Thuyết minh (đợt 1)'!Q118</f>
        <v>3692670</v>
      </c>
      <c r="H93" s="616">
        <v>100836864.48</v>
      </c>
      <c r="I93" s="599">
        <v>0</v>
      </c>
      <c r="J93" s="599">
        <f t="shared" si="6"/>
        <v>0</v>
      </c>
      <c r="K93" s="692">
        <f t="shared" si="7"/>
        <v>0</v>
      </c>
      <c r="L93" s="604"/>
      <c r="M93" s="593">
        <f t="shared" si="8"/>
        <v>100836864.48</v>
      </c>
      <c r="N93" s="593">
        <f t="shared" si="5"/>
        <v>100836864.48</v>
      </c>
      <c r="O93" s="593"/>
    </row>
    <row r="94" spans="1:15">
      <c r="A94" s="630" t="s">
        <v>904</v>
      </c>
      <c r="B94" s="632" t="s">
        <v>1094</v>
      </c>
      <c r="C94" s="630"/>
      <c r="D94" s="642">
        <v>0</v>
      </c>
      <c r="E94" s="651">
        <v>0</v>
      </c>
      <c r="F94" s="599">
        <v>0</v>
      </c>
      <c r="G94" s="601">
        <f>+'Thuyết minh (đợt 1)'!Q119</f>
        <v>0</v>
      </c>
      <c r="H94" s="616">
        <v>0</v>
      </c>
      <c r="I94" s="599">
        <v>0</v>
      </c>
      <c r="J94" s="599">
        <f t="shared" si="6"/>
        <v>0</v>
      </c>
      <c r="K94" s="692">
        <f t="shared" si="7"/>
        <v>0</v>
      </c>
      <c r="L94" s="604"/>
      <c r="M94" s="593">
        <f t="shared" si="8"/>
        <v>0</v>
      </c>
      <c r="N94" s="593">
        <f t="shared" si="5"/>
        <v>0</v>
      </c>
      <c r="O94" s="593"/>
    </row>
    <row r="95" spans="1:15" ht="45">
      <c r="A95" s="630">
        <v>76</v>
      </c>
      <c r="B95" s="631" t="s">
        <v>1095</v>
      </c>
      <c r="C95" s="630" t="s">
        <v>273</v>
      </c>
      <c r="D95" s="642">
        <v>4934.87925</v>
      </c>
      <c r="E95" s="651">
        <v>0</v>
      </c>
      <c r="F95" s="599">
        <v>18497</v>
      </c>
      <c r="G95" s="601">
        <f>+'Thuyết minh (đợt 1)'!Q120</f>
        <v>18663</v>
      </c>
      <c r="H95" s="616">
        <v>91280461.48725</v>
      </c>
      <c r="I95" s="599">
        <v>0</v>
      </c>
      <c r="J95" s="599">
        <f t="shared" si="6"/>
        <v>0</v>
      </c>
      <c r="K95" s="692">
        <f t="shared" si="7"/>
        <v>0</v>
      </c>
      <c r="L95" s="604"/>
      <c r="M95" s="593">
        <f t="shared" si="8"/>
        <v>91280461.48725</v>
      </c>
      <c r="N95" s="593">
        <f t="shared" ref="N95:N119" si="9">+H95-K95</f>
        <v>91280461.48725</v>
      </c>
      <c r="O95" s="593"/>
    </row>
    <row r="96" spans="1:15" ht="30">
      <c r="A96" s="630">
        <v>77</v>
      </c>
      <c r="B96" s="631" t="s">
        <v>1084</v>
      </c>
      <c r="C96" s="630" t="s">
        <v>106</v>
      </c>
      <c r="D96" s="642">
        <v>19.260000000000002</v>
      </c>
      <c r="E96" s="651">
        <v>0</v>
      </c>
      <c r="F96" s="599">
        <v>34737326</v>
      </c>
      <c r="G96" s="601">
        <f>+'Thuyết minh (đợt 1)'!Q121</f>
        <v>34598377</v>
      </c>
      <c r="H96" s="616">
        <v>669040898.76000011</v>
      </c>
      <c r="I96" s="599">
        <v>0</v>
      </c>
      <c r="J96" s="599">
        <f t="shared" si="6"/>
        <v>0</v>
      </c>
      <c r="K96" s="692">
        <f t="shared" si="7"/>
        <v>0</v>
      </c>
      <c r="L96" s="604"/>
      <c r="M96" s="593">
        <f t="shared" si="8"/>
        <v>669040898.76000011</v>
      </c>
      <c r="N96" s="593">
        <f t="shared" si="9"/>
        <v>669040898.76000011</v>
      </c>
      <c r="O96" s="593"/>
    </row>
    <row r="97" spans="1:15" ht="30">
      <c r="A97" s="630">
        <v>78</v>
      </c>
      <c r="B97" s="631" t="s">
        <v>1085</v>
      </c>
      <c r="C97" s="630" t="s">
        <v>106</v>
      </c>
      <c r="D97" s="642">
        <v>6.42</v>
      </c>
      <c r="E97" s="651">
        <v>0</v>
      </c>
      <c r="F97" s="599">
        <v>26052994</v>
      </c>
      <c r="G97" s="601">
        <f>+'Thuyết minh (đợt 1)'!Q122</f>
        <v>25948782</v>
      </c>
      <c r="H97" s="616">
        <v>167260221.47999999</v>
      </c>
      <c r="I97" s="599">
        <v>0</v>
      </c>
      <c r="J97" s="599">
        <f t="shared" si="6"/>
        <v>0</v>
      </c>
      <c r="K97" s="692">
        <f t="shared" si="7"/>
        <v>0</v>
      </c>
      <c r="L97" s="604"/>
      <c r="M97" s="593">
        <f t="shared" si="8"/>
        <v>167260221.47999999</v>
      </c>
      <c r="N97" s="593">
        <f t="shared" si="9"/>
        <v>167260221.47999999</v>
      </c>
      <c r="O97" s="593"/>
    </row>
    <row r="98" spans="1:15" ht="30">
      <c r="A98" s="630">
        <v>79</v>
      </c>
      <c r="B98" s="631" t="s">
        <v>1096</v>
      </c>
      <c r="C98" s="630" t="s">
        <v>273</v>
      </c>
      <c r="D98" s="642">
        <v>5864.7561299999998</v>
      </c>
      <c r="E98" s="651">
        <v>0</v>
      </c>
      <c r="F98" s="599">
        <v>18497</v>
      </c>
      <c r="G98" s="601">
        <f>+'Thuyết minh (đợt 1)'!Q123</f>
        <v>18663</v>
      </c>
      <c r="H98" s="616">
        <v>108480394.13661</v>
      </c>
      <c r="I98" s="599">
        <v>0</v>
      </c>
      <c r="J98" s="599">
        <f t="shared" si="6"/>
        <v>0</v>
      </c>
      <c r="K98" s="692">
        <f t="shared" si="7"/>
        <v>0</v>
      </c>
      <c r="L98" s="604"/>
      <c r="M98" s="593">
        <f t="shared" si="8"/>
        <v>108480394.13661</v>
      </c>
      <c r="N98" s="593">
        <f t="shared" si="9"/>
        <v>108480394.13661</v>
      </c>
      <c r="O98" s="593"/>
    </row>
    <row r="99" spans="1:15" ht="30">
      <c r="A99" s="630">
        <v>80</v>
      </c>
      <c r="B99" s="631" t="s">
        <v>1091</v>
      </c>
      <c r="C99" s="630" t="s">
        <v>106</v>
      </c>
      <c r="D99" s="642">
        <v>30.06</v>
      </c>
      <c r="E99" s="651">
        <v>0</v>
      </c>
      <c r="F99" s="599">
        <v>9935186</v>
      </c>
      <c r="G99" s="601">
        <f>+'Thuyết minh (đợt 1)'!Q124</f>
        <v>9895445</v>
      </c>
      <c r="H99" s="616">
        <v>298651691.15999997</v>
      </c>
      <c r="I99" s="599">
        <v>0</v>
      </c>
      <c r="J99" s="599">
        <f t="shared" si="6"/>
        <v>0</v>
      </c>
      <c r="K99" s="692">
        <f t="shared" si="7"/>
        <v>0</v>
      </c>
      <c r="L99" s="604"/>
      <c r="M99" s="593">
        <f t="shared" si="8"/>
        <v>298651691.15999997</v>
      </c>
      <c r="N99" s="593">
        <f t="shared" si="9"/>
        <v>298651691.15999997</v>
      </c>
      <c r="O99" s="593"/>
    </row>
    <row r="100" spans="1:15" ht="30">
      <c r="A100" s="630">
        <v>81</v>
      </c>
      <c r="B100" s="631" t="s">
        <v>1092</v>
      </c>
      <c r="C100" s="630" t="s">
        <v>106</v>
      </c>
      <c r="D100" s="642">
        <v>10.02</v>
      </c>
      <c r="E100" s="651">
        <v>0</v>
      </c>
      <c r="F100" s="599">
        <v>7451389</v>
      </c>
      <c r="G100" s="601">
        <f>+'Thuyết minh (đợt 1)'!Q125</f>
        <v>7421583</v>
      </c>
      <c r="H100" s="616">
        <v>74662917.780000001</v>
      </c>
      <c r="I100" s="599">
        <v>0</v>
      </c>
      <c r="J100" s="599">
        <f t="shared" si="6"/>
        <v>0</v>
      </c>
      <c r="K100" s="692">
        <f t="shared" si="7"/>
        <v>0</v>
      </c>
      <c r="L100" s="604"/>
      <c r="M100" s="593">
        <f t="shared" si="8"/>
        <v>74662917.780000001</v>
      </c>
      <c r="N100" s="593">
        <f t="shared" si="9"/>
        <v>74662917.780000001</v>
      </c>
      <c r="O100" s="593"/>
    </row>
    <row r="101" spans="1:15">
      <c r="A101" s="630">
        <v>82</v>
      </c>
      <c r="B101" s="631" t="s">
        <v>1097</v>
      </c>
      <c r="C101" s="630" t="s">
        <v>195</v>
      </c>
      <c r="D101" s="642">
        <v>1.3606800000000001</v>
      </c>
      <c r="E101" s="651">
        <v>0</v>
      </c>
      <c r="F101" s="599">
        <v>10392850</v>
      </c>
      <c r="G101" s="601">
        <f>+'Thuyết minh (đợt 1)'!Q126</f>
        <v>10392850</v>
      </c>
      <c r="H101" s="616">
        <v>14141343.138</v>
      </c>
      <c r="I101" s="599">
        <v>0</v>
      </c>
      <c r="J101" s="599">
        <f t="shared" si="6"/>
        <v>0</v>
      </c>
      <c r="K101" s="692">
        <f t="shared" si="7"/>
        <v>0</v>
      </c>
      <c r="L101" s="604"/>
      <c r="M101" s="593">
        <f t="shared" si="8"/>
        <v>14141343.138</v>
      </c>
      <c r="N101" s="593">
        <f t="shared" si="9"/>
        <v>14141343.138</v>
      </c>
      <c r="O101" s="593"/>
    </row>
    <row r="102" spans="1:15">
      <c r="A102" s="630">
        <v>83</v>
      </c>
      <c r="B102" s="631" t="s">
        <v>1098</v>
      </c>
      <c r="C102" s="630" t="s">
        <v>195</v>
      </c>
      <c r="D102" s="642">
        <v>83.004959999999997</v>
      </c>
      <c r="E102" s="651">
        <v>0</v>
      </c>
      <c r="F102" s="599">
        <v>6160609</v>
      </c>
      <c r="G102" s="601">
        <f>+'Thuyết minh (đợt 1)'!Q127</f>
        <v>6154448</v>
      </c>
      <c r="H102" s="616">
        <v>511361103.62063998</v>
      </c>
      <c r="I102" s="599">
        <v>0</v>
      </c>
      <c r="J102" s="599">
        <f t="shared" si="6"/>
        <v>0</v>
      </c>
      <c r="K102" s="692">
        <f t="shared" si="7"/>
        <v>0</v>
      </c>
      <c r="L102" s="604"/>
      <c r="M102" s="593">
        <f t="shared" si="8"/>
        <v>511361103.62063998</v>
      </c>
      <c r="N102" s="593">
        <f t="shared" si="9"/>
        <v>511361103.62063998</v>
      </c>
      <c r="O102" s="593"/>
    </row>
    <row r="103" spans="1:15">
      <c r="A103" s="630">
        <v>84</v>
      </c>
      <c r="B103" s="631" t="s">
        <v>1099</v>
      </c>
      <c r="C103" s="630" t="s">
        <v>195</v>
      </c>
      <c r="D103" s="642">
        <v>83.004959999999997</v>
      </c>
      <c r="E103" s="651">
        <v>0</v>
      </c>
      <c r="F103" s="599">
        <v>3696366</v>
      </c>
      <c r="G103" s="601">
        <f>+'Thuyết minh (đợt 1)'!Q128</f>
        <v>3692670</v>
      </c>
      <c r="H103" s="616">
        <v>306816711.97535998</v>
      </c>
      <c r="I103" s="599">
        <v>0</v>
      </c>
      <c r="J103" s="599">
        <f t="shared" si="6"/>
        <v>0</v>
      </c>
      <c r="K103" s="692">
        <f t="shared" si="7"/>
        <v>0</v>
      </c>
      <c r="L103" s="604"/>
      <c r="M103" s="593">
        <f t="shared" si="8"/>
        <v>306816711.97535998</v>
      </c>
      <c r="N103" s="593">
        <f t="shared" si="9"/>
        <v>306816711.97535998</v>
      </c>
      <c r="O103" s="593"/>
    </row>
    <row r="104" spans="1:15">
      <c r="A104" s="630" t="s">
        <v>906</v>
      </c>
      <c r="B104" s="631" t="s">
        <v>1100</v>
      </c>
      <c r="C104" s="630"/>
      <c r="D104" s="642">
        <v>0</v>
      </c>
      <c r="E104" s="651">
        <v>0</v>
      </c>
      <c r="F104" s="599">
        <v>0</v>
      </c>
      <c r="G104" s="601">
        <f>+'Thuyết minh (đợt 1)'!Q129</f>
        <v>0</v>
      </c>
      <c r="H104" s="616">
        <v>0</v>
      </c>
      <c r="I104" s="599">
        <v>0</v>
      </c>
      <c r="J104" s="599">
        <f t="shared" si="6"/>
        <v>0</v>
      </c>
      <c r="K104" s="692">
        <f t="shared" si="7"/>
        <v>0</v>
      </c>
      <c r="L104" s="604"/>
      <c r="M104" s="593">
        <f t="shared" si="8"/>
        <v>0</v>
      </c>
      <c r="N104" s="593">
        <f t="shared" si="9"/>
        <v>0</v>
      </c>
      <c r="O104" s="593"/>
    </row>
    <row r="105" spans="1:15">
      <c r="A105" s="630">
        <v>85</v>
      </c>
      <c r="B105" s="631" t="s">
        <v>1101</v>
      </c>
      <c r="C105" s="630" t="s">
        <v>70</v>
      </c>
      <c r="D105" s="642">
        <v>6</v>
      </c>
      <c r="E105" s="651">
        <v>3</v>
      </c>
      <c r="F105" s="599">
        <v>3623018</v>
      </c>
      <c r="G105" s="601">
        <f>+'Thuyết minh (đợt 1)'!Q130</f>
        <v>3615772</v>
      </c>
      <c r="H105" s="616">
        <v>21738108</v>
      </c>
      <c r="I105" s="599">
        <v>10869054</v>
      </c>
      <c r="J105" s="599">
        <f t="shared" si="6"/>
        <v>10847316</v>
      </c>
      <c r="K105" s="692">
        <f t="shared" si="7"/>
        <v>-21738</v>
      </c>
      <c r="L105" s="604"/>
      <c r="M105" s="593">
        <f t="shared" si="8"/>
        <v>21759846</v>
      </c>
      <c r="N105" s="593">
        <f t="shared" si="9"/>
        <v>21759846</v>
      </c>
      <c r="O105" s="593"/>
    </row>
    <row r="106" spans="1:15">
      <c r="A106" s="630">
        <v>86</v>
      </c>
      <c r="B106" s="631" t="s">
        <v>1102</v>
      </c>
      <c r="C106" s="630" t="s">
        <v>70</v>
      </c>
      <c r="D106" s="642">
        <v>1.2</v>
      </c>
      <c r="E106" s="651">
        <v>0.6</v>
      </c>
      <c r="F106" s="599">
        <v>15804808</v>
      </c>
      <c r="G106" s="601">
        <f>+'Thuyết minh (đợt 1)'!Q131</f>
        <v>15931246</v>
      </c>
      <c r="H106" s="616">
        <v>18965769.599999998</v>
      </c>
      <c r="I106" s="599">
        <v>9482884</v>
      </c>
      <c r="J106" s="599">
        <f t="shared" si="6"/>
        <v>9558747.5999999996</v>
      </c>
      <c r="K106" s="692">
        <f t="shared" si="7"/>
        <v>75863.599999999627</v>
      </c>
      <c r="L106" s="604"/>
      <c r="M106" s="593">
        <f t="shared" si="8"/>
        <v>18889906</v>
      </c>
      <c r="N106" s="593">
        <f t="shared" si="9"/>
        <v>18889906</v>
      </c>
      <c r="O106" s="593"/>
    </row>
    <row r="107" spans="1:15">
      <c r="A107" s="630">
        <v>87</v>
      </c>
      <c r="B107" s="631" t="s">
        <v>1103</v>
      </c>
      <c r="C107" s="630" t="s">
        <v>88</v>
      </c>
      <c r="D107" s="642">
        <v>1200</v>
      </c>
      <c r="E107" s="651">
        <v>600</v>
      </c>
      <c r="F107" s="599">
        <v>57428</v>
      </c>
      <c r="G107" s="601">
        <f>+'Thuyết minh (đợt 1)'!Q132</f>
        <v>57428</v>
      </c>
      <c r="H107" s="616">
        <v>68913600</v>
      </c>
      <c r="I107" s="599">
        <v>34456800</v>
      </c>
      <c r="J107" s="599">
        <f t="shared" si="6"/>
        <v>34456800</v>
      </c>
      <c r="K107" s="692">
        <f t="shared" si="7"/>
        <v>0</v>
      </c>
      <c r="L107" s="604"/>
      <c r="M107" s="593">
        <f t="shared" si="8"/>
        <v>68913600</v>
      </c>
      <c r="N107" s="593">
        <f t="shared" si="9"/>
        <v>68913600</v>
      </c>
      <c r="O107" s="593"/>
    </row>
    <row r="108" spans="1:15">
      <c r="A108" s="633" t="s">
        <v>1104</v>
      </c>
      <c r="B108" s="634"/>
      <c r="C108" s="630"/>
      <c r="D108" s="642"/>
      <c r="E108" s="651">
        <v>0</v>
      </c>
      <c r="F108" s="599"/>
      <c r="G108" s="601">
        <f>+'Thuyết minh (đợt 1)'!Q133</f>
        <v>0</v>
      </c>
      <c r="H108" s="616">
        <v>0</v>
      </c>
      <c r="I108" s="599">
        <v>0</v>
      </c>
      <c r="J108" s="599">
        <f t="shared" si="6"/>
        <v>0</v>
      </c>
      <c r="K108" s="692">
        <f t="shared" si="7"/>
        <v>0</v>
      </c>
      <c r="L108" s="604"/>
      <c r="M108" s="593">
        <f t="shared" si="8"/>
        <v>0</v>
      </c>
      <c r="N108" s="593">
        <f t="shared" si="9"/>
        <v>0</v>
      </c>
      <c r="O108" s="593"/>
    </row>
    <row r="109" spans="1:15" ht="30">
      <c r="A109" s="630">
        <v>192</v>
      </c>
      <c r="B109" s="631" t="s">
        <v>1105</v>
      </c>
      <c r="C109" s="630" t="s">
        <v>67</v>
      </c>
      <c r="D109" s="642">
        <v>0.32918419999999998</v>
      </c>
      <c r="E109" s="651">
        <v>0</v>
      </c>
      <c r="F109" s="599">
        <v>8490393</v>
      </c>
      <c r="G109" s="601">
        <f>+'Thuyết minh (đợt 1)'!Q134</f>
        <v>8498883</v>
      </c>
      <c r="H109" s="616">
        <v>2794903.2273905999</v>
      </c>
      <c r="I109" s="599">
        <v>0</v>
      </c>
      <c r="J109" s="599">
        <f t="shared" si="6"/>
        <v>0</v>
      </c>
      <c r="K109" s="692">
        <f t="shared" si="7"/>
        <v>0</v>
      </c>
      <c r="L109" s="604"/>
      <c r="M109" s="593">
        <f t="shared" si="8"/>
        <v>2794903.2273905999</v>
      </c>
      <c r="N109" s="593">
        <f t="shared" si="9"/>
        <v>2794903.2273905999</v>
      </c>
      <c r="O109" s="593"/>
    </row>
    <row r="110" spans="1:15">
      <c r="A110" s="630">
        <v>193</v>
      </c>
      <c r="B110" s="631" t="s">
        <v>1106</v>
      </c>
      <c r="C110" s="630" t="s">
        <v>1109</v>
      </c>
      <c r="D110" s="642">
        <v>5</v>
      </c>
      <c r="E110" s="651">
        <v>0</v>
      </c>
      <c r="F110" s="599">
        <v>3920018</v>
      </c>
      <c r="G110" s="601">
        <f>+'Thuyết minh (đợt 1)'!Q135</f>
        <v>3951378</v>
      </c>
      <c r="H110" s="616">
        <v>19600090</v>
      </c>
      <c r="I110" s="599">
        <v>0</v>
      </c>
      <c r="J110" s="599">
        <f t="shared" si="6"/>
        <v>0</v>
      </c>
      <c r="K110" s="692">
        <f t="shared" si="7"/>
        <v>0</v>
      </c>
      <c r="L110" s="604"/>
      <c r="M110" s="593">
        <f t="shared" si="8"/>
        <v>19600090</v>
      </c>
      <c r="N110" s="593">
        <f t="shared" si="9"/>
        <v>19600090</v>
      </c>
      <c r="O110" s="593"/>
    </row>
    <row r="111" spans="1:15">
      <c r="A111" s="630">
        <v>194</v>
      </c>
      <c r="B111" s="631" t="s">
        <v>1107</v>
      </c>
      <c r="C111" s="630" t="s">
        <v>1109</v>
      </c>
      <c r="D111" s="642">
        <v>2</v>
      </c>
      <c r="E111" s="651">
        <v>0</v>
      </c>
      <c r="F111" s="599">
        <v>2081240</v>
      </c>
      <c r="G111" s="601">
        <f>+'Thuyết minh (đợt 1)'!Q136</f>
        <v>2095809</v>
      </c>
      <c r="H111" s="616">
        <v>4162480</v>
      </c>
      <c r="I111" s="599">
        <v>0</v>
      </c>
      <c r="J111" s="599">
        <f t="shared" si="6"/>
        <v>0</v>
      </c>
      <c r="K111" s="692">
        <f t="shared" si="7"/>
        <v>0</v>
      </c>
      <c r="L111" s="604"/>
      <c r="M111" s="593">
        <f t="shared" si="8"/>
        <v>4162480</v>
      </c>
      <c r="N111" s="593">
        <f t="shared" si="9"/>
        <v>4162480</v>
      </c>
      <c r="O111" s="593"/>
    </row>
    <row r="112" spans="1:15">
      <c r="A112" s="643"/>
      <c r="B112" s="644" t="s">
        <v>1111</v>
      </c>
      <c r="C112" s="630"/>
      <c r="D112" s="642"/>
      <c r="E112" s="652"/>
      <c r="F112" s="599"/>
      <c r="G112" s="603"/>
      <c r="H112" s="653">
        <v>25199209361.851131</v>
      </c>
      <c r="I112" s="653">
        <v>2795124645</v>
      </c>
      <c r="J112" s="653">
        <f t="shared" ref="J112" si="10">+J15</f>
        <v>2813458282.1099992</v>
      </c>
      <c r="K112" s="693">
        <f t="shared" si="7"/>
        <v>18333637.10999918</v>
      </c>
      <c r="L112" s="604"/>
      <c r="M112" s="593">
        <f t="shared" si="8"/>
        <v>25180875724.741131</v>
      </c>
      <c r="N112" s="593">
        <f t="shared" si="9"/>
        <v>25180875724.741131</v>
      </c>
      <c r="O112" s="593"/>
    </row>
    <row r="113" spans="1:24">
      <c r="A113" s="643"/>
      <c r="B113" s="656" t="s">
        <v>1112</v>
      </c>
      <c r="C113" s="630"/>
      <c r="D113" s="642"/>
      <c r="E113" s="652"/>
      <c r="F113" s="599"/>
      <c r="G113" s="603"/>
      <c r="H113" s="653">
        <v>1763944655.3295794</v>
      </c>
      <c r="I113" s="649">
        <v>195658725.15000001</v>
      </c>
      <c r="J113" s="649">
        <f t="shared" ref="J113" si="11">+J112*7%</f>
        <v>196942079.74769998</v>
      </c>
      <c r="K113" s="694">
        <f t="shared" si="7"/>
        <v>1283354.59769997</v>
      </c>
      <c r="L113" s="604"/>
      <c r="M113" s="593">
        <f t="shared" si="8"/>
        <v>1762661300.7318795</v>
      </c>
      <c r="N113" s="593">
        <f t="shared" si="9"/>
        <v>1762661300.7318795</v>
      </c>
      <c r="O113" s="593"/>
    </row>
    <row r="114" spans="1:24">
      <c r="A114" s="637" t="s">
        <v>12</v>
      </c>
      <c r="B114" s="637" t="s">
        <v>1113</v>
      </c>
      <c r="C114" s="630"/>
      <c r="D114" s="642"/>
      <c r="E114" s="652"/>
      <c r="F114" s="599"/>
      <c r="G114" s="603"/>
      <c r="H114" s="653">
        <v>23435264706.521553</v>
      </c>
      <c r="I114" s="649">
        <v>2599465919.8499999</v>
      </c>
      <c r="J114" s="649">
        <f t="shared" ref="J114" si="12">+J112-J113</f>
        <v>2616516202.362299</v>
      </c>
      <c r="K114" s="694">
        <f t="shared" si="7"/>
        <v>17050282.512299061</v>
      </c>
      <c r="L114" s="604"/>
      <c r="M114" s="593">
        <f t="shared" si="8"/>
        <v>23418214424.009254</v>
      </c>
      <c r="N114" s="593">
        <f t="shared" si="9"/>
        <v>23418214424.009254</v>
      </c>
      <c r="O114" s="593"/>
    </row>
    <row r="115" spans="1:24">
      <c r="A115" s="637" t="s">
        <v>1011</v>
      </c>
      <c r="B115" s="637" t="s">
        <v>1114</v>
      </c>
      <c r="C115" s="630"/>
      <c r="D115" s="642"/>
      <c r="E115" s="652"/>
      <c r="F115" s="599"/>
      <c r="G115" s="603"/>
      <c r="H115" s="654"/>
      <c r="I115" s="654"/>
      <c r="J115" s="599"/>
      <c r="K115" s="599">
        <f t="shared" si="7"/>
        <v>0</v>
      </c>
      <c r="L115" s="604"/>
      <c r="M115" s="593">
        <f t="shared" si="8"/>
        <v>0</v>
      </c>
      <c r="N115" s="593">
        <f t="shared" si="9"/>
        <v>0</v>
      </c>
      <c r="O115" s="593"/>
    </row>
    <row r="116" spans="1:24">
      <c r="A116" s="637" t="s">
        <v>1013</v>
      </c>
      <c r="B116" s="637" t="s">
        <v>1115</v>
      </c>
      <c r="C116" s="645"/>
      <c r="D116" s="642"/>
      <c r="E116" s="652"/>
      <c r="F116" s="599"/>
      <c r="G116" s="603"/>
      <c r="H116" s="653">
        <v>1626477676</v>
      </c>
      <c r="I116" s="654">
        <v>0</v>
      </c>
      <c r="J116" s="599"/>
      <c r="K116" s="599">
        <f t="shared" si="7"/>
        <v>0</v>
      </c>
      <c r="L116" s="604"/>
      <c r="M116" s="593">
        <f t="shared" si="8"/>
        <v>1626477676</v>
      </c>
      <c r="N116" s="593">
        <f t="shared" si="9"/>
        <v>1626477676</v>
      </c>
      <c r="O116" s="593"/>
    </row>
    <row r="117" spans="1:24" ht="30">
      <c r="A117" s="630">
        <v>1</v>
      </c>
      <c r="B117" s="631" t="s">
        <v>1116</v>
      </c>
      <c r="C117" s="630" t="s">
        <v>1014</v>
      </c>
      <c r="D117" s="600"/>
      <c r="E117" s="652"/>
      <c r="F117" s="599"/>
      <c r="G117" s="603"/>
      <c r="H117" s="653">
        <v>1171763235</v>
      </c>
      <c r="I117" s="654">
        <v>0</v>
      </c>
      <c r="J117" s="599"/>
      <c r="K117" s="599">
        <f t="shared" si="7"/>
        <v>0</v>
      </c>
      <c r="L117" s="604"/>
      <c r="M117" s="593">
        <f t="shared" si="8"/>
        <v>1171763235</v>
      </c>
      <c r="N117" s="593">
        <f t="shared" si="9"/>
        <v>1171763235</v>
      </c>
      <c r="O117" s="593"/>
    </row>
    <row r="118" spans="1:24" ht="30">
      <c r="A118" s="630">
        <v>2</v>
      </c>
      <c r="B118" s="631" t="s">
        <v>1117</v>
      </c>
      <c r="C118" s="630" t="s">
        <v>1014</v>
      </c>
      <c r="D118" s="600"/>
      <c r="E118" s="652"/>
      <c r="F118" s="599"/>
      <c r="G118" s="603"/>
      <c r="H118" s="653">
        <v>454714441</v>
      </c>
      <c r="I118" s="654">
        <v>0</v>
      </c>
      <c r="J118" s="599"/>
      <c r="K118" s="599">
        <f t="shared" si="7"/>
        <v>0</v>
      </c>
      <c r="L118" s="604"/>
      <c r="M118" s="593">
        <f t="shared" si="8"/>
        <v>454714441</v>
      </c>
      <c r="N118" s="593">
        <f t="shared" si="9"/>
        <v>454714441</v>
      </c>
      <c r="O118" s="593"/>
    </row>
    <row r="119" spans="1:24">
      <c r="A119" s="605"/>
      <c r="B119" s="656" t="s">
        <v>1118</v>
      </c>
      <c r="C119" s="646"/>
      <c r="D119" s="647"/>
      <c r="E119" s="652"/>
      <c r="F119" s="599"/>
      <c r="G119" s="603"/>
      <c r="H119" s="653">
        <v>25061742382.521553</v>
      </c>
      <c r="I119" s="653">
        <v>2599465919.8499999</v>
      </c>
      <c r="J119" s="653">
        <f t="shared" ref="J119:L119" si="13">+J114</f>
        <v>2616516202.362299</v>
      </c>
      <c r="K119" s="693">
        <f t="shared" si="7"/>
        <v>17050282.512299061</v>
      </c>
      <c r="L119" s="653">
        <f t="shared" si="13"/>
        <v>0</v>
      </c>
      <c r="M119" s="593">
        <f t="shared" si="8"/>
        <v>25044692100.009254</v>
      </c>
      <c r="N119" s="593">
        <f t="shared" si="9"/>
        <v>25044692100.009254</v>
      </c>
      <c r="O119" s="593"/>
    </row>
    <row r="121" spans="1:24" s="677" customFormat="1">
      <c r="B121" s="714" t="s">
        <v>1169</v>
      </c>
      <c r="C121" s="679"/>
      <c r="D121" s="678" t="s">
        <v>1136</v>
      </c>
      <c r="E121" s="681"/>
      <c r="G121" s="680"/>
      <c r="J121" s="715" t="s">
        <v>1137</v>
      </c>
      <c r="L121" s="683"/>
      <c r="R121" s="684"/>
      <c r="S121" s="684"/>
      <c r="V121" s="684"/>
      <c r="W121" s="684"/>
      <c r="X121" s="686"/>
    </row>
  </sheetData>
  <mergeCells count="15">
    <mergeCell ref="A9:L9"/>
    <mergeCell ref="A1:L1"/>
    <mergeCell ref="A4:L4"/>
    <mergeCell ref="A5:L5"/>
    <mergeCell ref="M5:N5"/>
    <mergeCell ref="A6:L6"/>
    <mergeCell ref="A7:L7"/>
    <mergeCell ref="M7:N7"/>
    <mergeCell ref="L11:L12"/>
    <mergeCell ref="A11:A12"/>
    <mergeCell ref="B11:B12"/>
    <mergeCell ref="C11:C12"/>
    <mergeCell ref="D11:E11"/>
    <mergeCell ref="F11:G11"/>
    <mergeCell ref="H11:K11"/>
  </mergeCells>
  <pageMargins left="0.43307086614173229" right="0.15748031496062992" top="0.43307086614173229" bottom="0.31496062992125984" header="0.15748031496062992" footer="0.15748031496062992"/>
  <pageSetup paperSize="9" orientation="landscape" r:id="rId1"/>
  <headerFooter>
    <oddFooter>&amp;R&amp;8trang &amp;P</oddFooter>
  </headerFooter>
  <drawing r:id="rId2"/>
</worksheet>
</file>

<file path=xl/worksheets/sheet20.xml><?xml version="1.0" encoding="utf-8"?>
<worksheet xmlns="http://schemas.openxmlformats.org/spreadsheetml/2006/main" xmlns:r="http://schemas.openxmlformats.org/officeDocument/2006/relationships">
  <sheetPr>
    <tabColor rgb="FFFF0000"/>
  </sheetPr>
  <dimension ref="A1:X138"/>
  <sheetViews>
    <sheetView showZeros="0" tabSelected="1" view="pageBreakPreview" topLeftCell="A23" zoomScaleSheetLayoutView="100" workbookViewId="0">
      <selection activeCell="B27" sqref="B27:Q27"/>
    </sheetView>
  </sheetViews>
  <sheetFormatPr defaultRowHeight="16.5"/>
  <cols>
    <col min="1" max="1" width="4.28515625" style="669" customWidth="1"/>
    <col min="2" max="2" width="28" style="541" customWidth="1"/>
    <col min="3" max="3" width="6.5703125" style="541" customWidth="1"/>
    <col min="4" max="4" width="8.140625" style="669" customWidth="1"/>
    <col min="5" max="5" width="8.42578125" style="542" customWidth="1"/>
    <col min="6" max="6" width="6.85546875" style="669" customWidth="1"/>
    <col min="7" max="7" width="8" style="669" customWidth="1"/>
    <col min="8" max="8" width="7.5703125" style="669" hidden="1" customWidth="1"/>
    <col min="9" max="9" width="7" style="541" customWidth="1"/>
    <col min="10" max="11" width="6.85546875" style="541" customWidth="1"/>
    <col min="12" max="14" width="6.42578125" style="541" customWidth="1"/>
    <col min="15" max="15" width="7.7109375" style="541" customWidth="1"/>
    <col min="16" max="16" width="10.85546875" style="541" customWidth="1"/>
    <col min="17" max="17" width="11.140625" style="541" customWidth="1"/>
    <col min="18" max="256" width="9.140625" style="541"/>
    <col min="257" max="257" width="6.7109375" style="541" customWidth="1"/>
    <col min="258" max="258" width="28" style="541" customWidth="1"/>
    <col min="259" max="259" width="10.7109375" style="541" customWidth="1"/>
    <col min="260" max="260" width="6.7109375" style="541" customWidth="1"/>
    <col min="261" max="261" width="9.7109375" style="541" customWidth="1"/>
    <col min="262" max="262" width="10" style="541" customWidth="1"/>
    <col min="263" max="263" width="9.7109375" style="541" customWidth="1"/>
    <col min="264" max="264" width="9.42578125" style="541" bestFit="1" customWidth="1"/>
    <col min="265" max="265" width="9.42578125" style="541" customWidth="1"/>
    <col min="266" max="512" width="9.140625" style="541"/>
    <col min="513" max="513" width="6.7109375" style="541" customWidth="1"/>
    <col min="514" max="514" width="28" style="541" customWidth="1"/>
    <col min="515" max="515" width="10.7109375" style="541" customWidth="1"/>
    <col min="516" max="516" width="6.7109375" style="541" customWidth="1"/>
    <col min="517" max="517" width="9.7109375" style="541" customWidth="1"/>
    <col min="518" max="518" width="10" style="541" customWidth="1"/>
    <col min="519" max="519" width="9.7109375" style="541" customWidth="1"/>
    <col min="520" max="520" width="9.42578125" style="541" bestFit="1" customWidth="1"/>
    <col min="521" max="521" width="9.42578125" style="541" customWidth="1"/>
    <col min="522" max="768" width="9.140625" style="541"/>
    <col min="769" max="769" width="6.7109375" style="541" customWidth="1"/>
    <col min="770" max="770" width="28" style="541" customWidth="1"/>
    <col min="771" max="771" width="10.7109375" style="541" customWidth="1"/>
    <col min="772" max="772" width="6.7109375" style="541" customWidth="1"/>
    <col min="773" max="773" width="9.7109375" style="541" customWidth="1"/>
    <col min="774" max="774" width="10" style="541" customWidth="1"/>
    <col min="775" max="775" width="9.7109375" style="541" customWidth="1"/>
    <col min="776" max="776" width="9.42578125" style="541" bestFit="1" customWidth="1"/>
    <col min="777" max="777" width="9.42578125" style="541" customWidth="1"/>
    <col min="778" max="1024" width="9.140625" style="541"/>
    <col min="1025" max="1025" width="6.7109375" style="541" customWidth="1"/>
    <col min="1026" max="1026" width="28" style="541" customWidth="1"/>
    <col min="1027" max="1027" width="10.7109375" style="541" customWidth="1"/>
    <col min="1028" max="1028" width="6.7109375" style="541" customWidth="1"/>
    <col min="1029" max="1029" width="9.7109375" style="541" customWidth="1"/>
    <col min="1030" max="1030" width="10" style="541" customWidth="1"/>
    <col min="1031" max="1031" width="9.7109375" style="541" customWidth="1"/>
    <col min="1032" max="1032" width="9.42578125" style="541" bestFit="1" customWidth="1"/>
    <col min="1033" max="1033" width="9.42578125" style="541" customWidth="1"/>
    <col min="1034" max="1280" width="9.140625" style="541"/>
    <col min="1281" max="1281" width="6.7109375" style="541" customWidth="1"/>
    <col min="1282" max="1282" width="28" style="541" customWidth="1"/>
    <col min="1283" max="1283" width="10.7109375" style="541" customWidth="1"/>
    <col min="1284" max="1284" width="6.7109375" style="541" customWidth="1"/>
    <col min="1285" max="1285" width="9.7109375" style="541" customWidth="1"/>
    <col min="1286" max="1286" width="10" style="541" customWidth="1"/>
    <col min="1287" max="1287" width="9.7109375" style="541" customWidth="1"/>
    <col min="1288" max="1288" width="9.42578125" style="541" bestFit="1" customWidth="1"/>
    <col min="1289" max="1289" width="9.42578125" style="541" customWidth="1"/>
    <col min="1290" max="1536" width="9.140625" style="541"/>
    <col min="1537" max="1537" width="6.7109375" style="541" customWidth="1"/>
    <col min="1538" max="1538" width="28" style="541" customWidth="1"/>
    <col min="1539" max="1539" width="10.7109375" style="541" customWidth="1"/>
    <col min="1540" max="1540" width="6.7109375" style="541" customWidth="1"/>
    <col min="1541" max="1541" width="9.7109375" style="541" customWidth="1"/>
    <col min="1542" max="1542" width="10" style="541" customWidth="1"/>
    <col min="1543" max="1543" width="9.7109375" style="541" customWidth="1"/>
    <col min="1544" max="1544" width="9.42578125" style="541" bestFit="1" customWidth="1"/>
    <col min="1545" max="1545" width="9.42578125" style="541" customWidth="1"/>
    <col min="1546" max="1792" width="9.140625" style="541"/>
    <col min="1793" max="1793" width="6.7109375" style="541" customWidth="1"/>
    <col min="1794" max="1794" width="28" style="541" customWidth="1"/>
    <col min="1795" max="1795" width="10.7109375" style="541" customWidth="1"/>
    <col min="1796" max="1796" width="6.7109375" style="541" customWidth="1"/>
    <col min="1797" max="1797" width="9.7109375" style="541" customWidth="1"/>
    <col min="1798" max="1798" width="10" style="541" customWidth="1"/>
    <col min="1799" max="1799" width="9.7109375" style="541" customWidth="1"/>
    <col min="1800" max="1800" width="9.42578125" style="541" bestFit="1" customWidth="1"/>
    <col min="1801" max="1801" width="9.42578125" style="541" customWidth="1"/>
    <col min="1802" max="2048" width="9.140625" style="541"/>
    <col min="2049" max="2049" width="6.7109375" style="541" customWidth="1"/>
    <col min="2050" max="2050" width="28" style="541" customWidth="1"/>
    <col min="2051" max="2051" width="10.7109375" style="541" customWidth="1"/>
    <col min="2052" max="2052" width="6.7109375" style="541" customWidth="1"/>
    <col min="2053" max="2053" width="9.7109375" style="541" customWidth="1"/>
    <col min="2054" max="2054" width="10" style="541" customWidth="1"/>
    <col min="2055" max="2055" width="9.7109375" style="541" customWidth="1"/>
    <col min="2056" max="2056" width="9.42578125" style="541" bestFit="1" customWidth="1"/>
    <col min="2057" max="2057" width="9.42578125" style="541" customWidth="1"/>
    <col min="2058" max="2304" width="9.140625" style="541"/>
    <col min="2305" max="2305" width="6.7109375" style="541" customWidth="1"/>
    <col min="2306" max="2306" width="28" style="541" customWidth="1"/>
    <col min="2307" max="2307" width="10.7109375" style="541" customWidth="1"/>
    <col min="2308" max="2308" width="6.7109375" style="541" customWidth="1"/>
    <col min="2309" max="2309" width="9.7109375" style="541" customWidth="1"/>
    <col min="2310" max="2310" width="10" style="541" customWidth="1"/>
    <col min="2311" max="2311" width="9.7109375" style="541" customWidth="1"/>
    <col min="2312" max="2312" width="9.42578125" style="541" bestFit="1" customWidth="1"/>
    <col min="2313" max="2313" width="9.42578125" style="541" customWidth="1"/>
    <col min="2314" max="2560" width="9.140625" style="541"/>
    <col min="2561" max="2561" width="6.7109375" style="541" customWidth="1"/>
    <col min="2562" max="2562" width="28" style="541" customWidth="1"/>
    <col min="2563" max="2563" width="10.7109375" style="541" customWidth="1"/>
    <col min="2564" max="2564" width="6.7109375" style="541" customWidth="1"/>
    <col min="2565" max="2565" width="9.7109375" style="541" customWidth="1"/>
    <col min="2566" max="2566" width="10" style="541" customWidth="1"/>
    <col min="2567" max="2567" width="9.7109375" style="541" customWidth="1"/>
    <col min="2568" max="2568" width="9.42578125" style="541" bestFit="1" customWidth="1"/>
    <col min="2569" max="2569" width="9.42578125" style="541" customWidth="1"/>
    <col min="2570" max="2816" width="9.140625" style="541"/>
    <col min="2817" max="2817" width="6.7109375" style="541" customWidth="1"/>
    <col min="2818" max="2818" width="28" style="541" customWidth="1"/>
    <col min="2819" max="2819" width="10.7109375" style="541" customWidth="1"/>
    <col min="2820" max="2820" width="6.7109375" style="541" customWidth="1"/>
    <col min="2821" max="2821" width="9.7109375" style="541" customWidth="1"/>
    <col min="2822" max="2822" width="10" style="541" customWidth="1"/>
    <col min="2823" max="2823" width="9.7109375" style="541" customWidth="1"/>
    <col min="2824" max="2824" width="9.42578125" style="541" bestFit="1" customWidth="1"/>
    <col min="2825" max="2825" width="9.42578125" style="541" customWidth="1"/>
    <col min="2826" max="3072" width="9.140625" style="541"/>
    <col min="3073" max="3073" width="6.7109375" style="541" customWidth="1"/>
    <col min="3074" max="3074" width="28" style="541" customWidth="1"/>
    <col min="3075" max="3075" width="10.7109375" style="541" customWidth="1"/>
    <col min="3076" max="3076" width="6.7109375" style="541" customWidth="1"/>
    <col min="3077" max="3077" width="9.7109375" style="541" customWidth="1"/>
    <col min="3078" max="3078" width="10" style="541" customWidth="1"/>
    <col min="3079" max="3079" width="9.7109375" style="541" customWidth="1"/>
    <col min="3080" max="3080" width="9.42578125" style="541" bestFit="1" customWidth="1"/>
    <col min="3081" max="3081" width="9.42578125" style="541" customWidth="1"/>
    <col min="3082" max="3328" width="9.140625" style="541"/>
    <col min="3329" max="3329" width="6.7109375" style="541" customWidth="1"/>
    <col min="3330" max="3330" width="28" style="541" customWidth="1"/>
    <col min="3331" max="3331" width="10.7109375" style="541" customWidth="1"/>
    <col min="3332" max="3332" width="6.7109375" style="541" customWidth="1"/>
    <col min="3333" max="3333" width="9.7109375" style="541" customWidth="1"/>
    <col min="3334" max="3334" width="10" style="541" customWidth="1"/>
    <col min="3335" max="3335" width="9.7109375" style="541" customWidth="1"/>
    <col min="3336" max="3336" width="9.42578125" style="541" bestFit="1" customWidth="1"/>
    <col min="3337" max="3337" width="9.42578125" style="541" customWidth="1"/>
    <col min="3338" max="3584" width="9.140625" style="541"/>
    <col min="3585" max="3585" width="6.7109375" style="541" customWidth="1"/>
    <col min="3586" max="3586" width="28" style="541" customWidth="1"/>
    <col min="3587" max="3587" width="10.7109375" style="541" customWidth="1"/>
    <col min="3588" max="3588" width="6.7109375" style="541" customWidth="1"/>
    <col min="3589" max="3589" width="9.7109375" style="541" customWidth="1"/>
    <col min="3590" max="3590" width="10" style="541" customWidth="1"/>
    <col min="3591" max="3591" width="9.7109375" style="541" customWidth="1"/>
    <col min="3592" max="3592" width="9.42578125" style="541" bestFit="1" customWidth="1"/>
    <col min="3593" max="3593" width="9.42578125" style="541" customWidth="1"/>
    <col min="3594" max="3840" width="9.140625" style="541"/>
    <col min="3841" max="3841" width="6.7109375" style="541" customWidth="1"/>
    <col min="3842" max="3842" width="28" style="541" customWidth="1"/>
    <col min="3843" max="3843" width="10.7109375" style="541" customWidth="1"/>
    <col min="3844" max="3844" width="6.7109375" style="541" customWidth="1"/>
    <col min="3845" max="3845" width="9.7109375" style="541" customWidth="1"/>
    <col min="3846" max="3846" width="10" style="541" customWidth="1"/>
    <col min="3847" max="3847" width="9.7109375" style="541" customWidth="1"/>
    <col min="3848" max="3848" width="9.42578125" style="541" bestFit="1" customWidth="1"/>
    <col min="3849" max="3849" width="9.42578125" style="541" customWidth="1"/>
    <col min="3850" max="4096" width="9.140625" style="541"/>
    <col min="4097" max="4097" width="6.7109375" style="541" customWidth="1"/>
    <col min="4098" max="4098" width="28" style="541" customWidth="1"/>
    <col min="4099" max="4099" width="10.7109375" style="541" customWidth="1"/>
    <col min="4100" max="4100" width="6.7109375" style="541" customWidth="1"/>
    <col min="4101" max="4101" width="9.7109375" style="541" customWidth="1"/>
    <col min="4102" max="4102" width="10" style="541" customWidth="1"/>
    <col min="4103" max="4103" width="9.7109375" style="541" customWidth="1"/>
    <col min="4104" max="4104" width="9.42578125" style="541" bestFit="1" customWidth="1"/>
    <col min="4105" max="4105" width="9.42578125" style="541" customWidth="1"/>
    <col min="4106" max="4352" width="9.140625" style="541"/>
    <col min="4353" max="4353" width="6.7109375" style="541" customWidth="1"/>
    <col min="4354" max="4354" width="28" style="541" customWidth="1"/>
    <col min="4355" max="4355" width="10.7109375" style="541" customWidth="1"/>
    <col min="4356" max="4356" width="6.7109375" style="541" customWidth="1"/>
    <col min="4357" max="4357" width="9.7109375" style="541" customWidth="1"/>
    <col min="4358" max="4358" width="10" style="541" customWidth="1"/>
    <col min="4359" max="4359" width="9.7109375" style="541" customWidth="1"/>
    <col min="4360" max="4360" width="9.42578125" style="541" bestFit="1" customWidth="1"/>
    <col min="4361" max="4361" width="9.42578125" style="541" customWidth="1"/>
    <col min="4362" max="4608" width="9.140625" style="541"/>
    <col min="4609" max="4609" width="6.7109375" style="541" customWidth="1"/>
    <col min="4610" max="4610" width="28" style="541" customWidth="1"/>
    <col min="4611" max="4611" width="10.7109375" style="541" customWidth="1"/>
    <col min="4612" max="4612" width="6.7109375" style="541" customWidth="1"/>
    <col min="4613" max="4613" width="9.7109375" style="541" customWidth="1"/>
    <col min="4614" max="4614" width="10" style="541" customWidth="1"/>
    <col min="4615" max="4615" width="9.7109375" style="541" customWidth="1"/>
    <col min="4616" max="4616" width="9.42578125" style="541" bestFit="1" customWidth="1"/>
    <col min="4617" max="4617" width="9.42578125" style="541" customWidth="1"/>
    <col min="4618" max="4864" width="9.140625" style="541"/>
    <col min="4865" max="4865" width="6.7109375" style="541" customWidth="1"/>
    <col min="4866" max="4866" width="28" style="541" customWidth="1"/>
    <col min="4867" max="4867" width="10.7109375" style="541" customWidth="1"/>
    <col min="4868" max="4868" width="6.7109375" style="541" customWidth="1"/>
    <col min="4869" max="4869" width="9.7109375" style="541" customWidth="1"/>
    <col min="4870" max="4870" width="10" style="541" customWidth="1"/>
    <col min="4871" max="4871" width="9.7109375" style="541" customWidth="1"/>
    <col min="4872" max="4872" width="9.42578125" style="541" bestFit="1" customWidth="1"/>
    <col min="4873" max="4873" width="9.42578125" style="541" customWidth="1"/>
    <col min="4874" max="5120" width="9.140625" style="541"/>
    <col min="5121" max="5121" width="6.7109375" style="541" customWidth="1"/>
    <col min="5122" max="5122" width="28" style="541" customWidth="1"/>
    <col min="5123" max="5123" width="10.7109375" style="541" customWidth="1"/>
    <col min="5124" max="5124" width="6.7109375" style="541" customWidth="1"/>
    <col min="5125" max="5125" width="9.7109375" style="541" customWidth="1"/>
    <col min="5126" max="5126" width="10" style="541" customWidth="1"/>
    <col min="5127" max="5127" width="9.7109375" style="541" customWidth="1"/>
    <col min="5128" max="5128" width="9.42578125" style="541" bestFit="1" customWidth="1"/>
    <col min="5129" max="5129" width="9.42578125" style="541" customWidth="1"/>
    <col min="5130" max="5376" width="9.140625" style="541"/>
    <col min="5377" max="5377" width="6.7109375" style="541" customWidth="1"/>
    <col min="5378" max="5378" width="28" style="541" customWidth="1"/>
    <col min="5379" max="5379" width="10.7109375" style="541" customWidth="1"/>
    <col min="5380" max="5380" width="6.7109375" style="541" customWidth="1"/>
    <col min="5381" max="5381" width="9.7109375" style="541" customWidth="1"/>
    <col min="5382" max="5382" width="10" style="541" customWidth="1"/>
    <col min="5383" max="5383" width="9.7109375" style="541" customWidth="1"/>
    <col min="5384" max="5384" width="9.42578125" style="541" bestFit="1" customWidth="1"/>
    <col min="5385" max="5385" width="9.42578125" style="541" customWidth="1"/>
    <col min="5386" max="5632" width="9.140625" style="541"/>
    <col min="5633" max="5633" width="6.7109375" style="541" customWidth="1"/>
    <col min="5634" max="5634" width="28" style="541" customWidth="1"/>
    <col min="5635" max="5635" width="10.7109375" style="541" customWidth="1"/>
    <col min="5636" max="5636" width="6.7109375" style="541" customWidth="1"/>
    <col min="5637" max="5637" width="9.7109375" style="541" customWidth="1"/>
    <col min="5638" max="5638" width="10" style="541" customWidth="1"/>
    <col min="5639" max="5639" width="9.7109375" style="541" customWidth="1"/>
    <col min="5640" max="5640" width="9.42578125" style="541" bestFit="1" customWidth="1"/>
    <col min="5641" max="5641" width="9.42578125" style="541" customWidth="1"/>
    <col min="5642" max="5888" width="9.140625" style="541"/>
    <col min="5889" max="5889" width="6.7109375" style="541" customWidth="1"/>
    <col min="5890" max="5890" width="28" style="541" customWidth="1"/>
    <col min="5891" max="5891" width="10.7109375" style="541" customWidth="1"/>
    <col min="5892" max="5892" width="6.7109375" style="541" customWidth="1"/>
    <col min="5893" max="5893" width="9.7109375" style="541" customWidth="1"/>
    <col min="5894" max="5894" width="10" style="541" customWidth="1"/>
    <col min="5895" max="5895" width="9.7109375" style="541" customWidth="1"/>
    <col min="5896" max="5896" width="9.42578125" style="541" bestFit="1" customWidth="1"/>
    <col min="5897" max="5897" width="9.42578125" style="541" customWidth="1"/>
    <col min="5898" max="6144" width="9.140625" style="541"/>
    <col min="6145" max="6145" width="6.7109375" style="541" customWidth="1"/>
    <col min="6146" max="6146" width="28" style="541" customWidth="1"/>
    <col min="6147" max="6147" width="10.7109375" style="541" customWidth="1"/>
    <col min="6148" max="6148" width="6.7109375" style="541" customWidth="1"/>
    <col min="6149" max="6149" width="9.7109375" style="541" customWidth="1"/>
    <col min="6150" max="6150" width="10" style="541" customWidth="1"/>
    <col min="6151" max="6151" width="9.7109375" style="541" customWidth="1"/>
    <col min="6152" max="6152" width="9.42578125" style="541" bestFit="1" customWidth="1"/>
    <col min="6153" max="6153" width="9.42578125" style="541" customWidth="1"/>
    <col min="6154" max="6400" width="9.140625" style="541"/>
    <col min="6401" max="6401" width="6.7109375" style="541" customWidth="1"/>
    <col min="6402" max="6402" width="28" style="541" customWidth="1"/>
    <col min="6403" max="6403" width="10.7109375" style="541" customWidth="1"/>
    <col min="6404" max="6404" width="6.7109375" style="541" customWidth="1"/>
    <col min="6405" max="6405" width="9.7109375" style="541" customWidth="1"/>
    <col min="6406" max="6406" width="10" style="541" customWidth="1"/>
    <col min="6407" max="6407" width="9.7109375" style="541" customWidth="1"/>
    <col min="6408" max="6408" width="9.42578125" style="541" bestFit="1" customWidth="1"/>
    <col min="6409" max="6409" width="9.42578125" style="541" customWidth="1"/>
    <col min="6410" max="6656" width="9.140625" style="541"/>
    <col min="6657" max="6657" width="6.7109375" style="541" customWidth="1"/>
    <col min="6658" max="6658" width="28" style="541" customWidth="1"/>
    <col min="6659" max="6659" width="10.7109375" style="541" customWidth="1"/>
    <col min="6660" max="6660" width="6.7109375" style="541" customWidth="1"/>
    <col min="6661" max="6661" width="9.7109375" style="541" customWidth="1"/>
    <col min="6662" max="6662" width="10" style="541" customWidth="1"/>
    <col min="6663" max="6663" width="9.7109375" style="541" customWidth="1"/>
    <col min="6664" max="6664" width="9.42578125" style="541" bestFit="1" customWidth="1"/>
    <col min="6665" max="6665" width="9.42578125" style="541" customWidth="1"/>
    <col min="6666" max="6912" width="9.140625" style="541"/>
    <col min="6913" max="6913" width="6.7109375" style="541" customWidth="1"/>
    <col min="6914" max="6914" width="28" style="541" customWidth="1"/>
    <col min="6915" max="6915" width="10.7109375" style="541" customWidth="1"/>
    <col min="6916" max="6916" width="6.7109375" style="541" customWidth="1"/>
    <col min="6917" max="6917" width="9.7109375" style="541" customWidth="1"/>
    <col min="6918" max="6918" width="10" style="541" customWidth="1"/>
    <col min="6919" max="6919" width="9.7109375" style="541" customWidth="1"/>
    <col min="6920" max="6920" width="9.42578125" style="541" bestFit="1" customWidth="1"/>
    <col min="6921" max="6921" width="9.42578125" style="541" customWidth="1"/>
    <col min="6922" max="7168" width="9.140625" style="541"/>
    <col min="7169" max="7169" width="6.7109375" style="541" customWidth="1"/>
    <col min="7170" max="7170" width="28" style="541" customWidth="1"/>
    <col min="7171" max="7171" width="10.7109375" style="541" customWidth="1"/>
    <col min="7172" max="7172" width="6.7109375" style="541" customWidth="1"/>
    <col min="7173" max="7173" width="9.7109375" style="541" customWidth="1"/>
    <col min="7174" max="7174" width="10" style="541" customWidth="1"/>
    <col min="7175" max="7175" width="9.7109375" style="541" customWidth="1"/>
    <col min="7176" max="7176" width="9.42578125" style="541" bestFit="1" customWidth="1"/>
    <col min="7177" max="7177" width="9.42578125" style="541" customWidth="1"/>
    <col min="7178" max="7424" width="9.140625" style="541"/>
    <col min="7425" max="7425" width="6.7109375" style="541" customWidth="1"/>
    <col min="7426" max="7426" width="28" style="541" customWidth="1"/>
    <col min="7427" max="7427" width="10.7109375" style="541" customWidth="1"/>
    <col min="7428" max="7428" width="6.7109375" style="541" customWidth="1"/>
    <col min="7429" max="7429" width="9.7109375" style="541" customWidth="1"/>
    <col min="7430" max="7430" width="10" style="541" customWidth="1"/>
    <col min="7431" max="7431" width="9.7109375" style="541" customWidth="1"/>
    <col min="7432" max="7432" width="9.42578125" style="541" bestFit="1" customWidth="1"/>
    <col min="7433" max="7433" width="9.42578125" style="541" customWidth="1"/>
    <col min="7434" max="7680" width="9.140625" style="541"/>
    <col min="7681" max="7681" width="6.7109375" style="541" customWidth="1"/>
    <col min="7682" max="7682" width="28" style="541" customWidth="1"/>
    <col min="7683" max="7683" width="10.7109375" style="541" customWidth="1"/>
    <col min="7684" max="7684" width="6.7109375" style="541" customWidth="1"/>
    <col min="7685" max="7685" width="9.7109375" style="541" customWidth="1"/>
    <col min="7686" max="7686" width="10" style="541" customWidth="1"/>
    <col min="7687" max="7687" width="9.7109375" style="541" customWidth="1"/>
    <col min="7688" max="7688" width="9.42578125" style="541" bestFit="1" customWidth="1"/>
    <col min="7689" max="7689" width="9.42578125" style="541" customWidth="1"/>
    <col min="7690" max="7936" width="9.140625" style="541"/>
    <col min="7937" max="7937" width="6.7109375" style="541" customWidth="1"/>
    <col min="7938" max="7938" width="28" style="541" customWidth="1"/>
    <col min="7939" max="7939" width="10.7109375" style="541" customWidth="1"/>
    <col min="7940" max="7940" width="6.7109375" style="541" customWidth="1"/>
    <col min="7941" max="7941" width="9.7109375" style="541" customWidth="1"/>
    <col min="7942" max="7942" width="10" style="541" customWidth="1"/>
    <col min="7943" max="7943" width="9.7109375" style="541" customWidth="1"/>
    <col min="7944" max="7944" width="9.42578125" style="541" bestFit="1" customWidth="1"/>
    <col min="7945" max="7945" width="9.42578125" style="541" customWidth="1"/>
    <col min="7946" max="8192" width="9.140625" style="541"/>
    <col min="8193" max="8193" width="6.7109375" style="541" customWidth="1"/>
    <col min="8194" max="8194" width="28" style="541" customWidth="1"/>
    <col min="8195" max="8195" width="10.7109375" style="541" customWidth="1"/>
    <col min="8196" max="8196" width="6.7109375" style="541" customWidth="1"/>
    <col min="8197" max="8197" width="9.7109375" style="541" customWidth="1"/>
    <col min="8198" max="8198" width="10" style="541" customWidth="1"/>
    <col min="8199" max="8199" width="9.7109375" style="541" customWidth="1"/>
    <col min="8200" max="8200" width="9.42578125" style="541" bestFit="1" customWidth="1"/>
    <col min="8201" max="8201" width="9.42578125" style="541" customWidth="1"/>
    <col min="8202" max="8448" width="9.140625" style="541"/>
    <col min="8449" max="8449" width="6.7109375" style="541" customWidth="1"/>
    <col min="8450" max="8450" width="28" style="541" customWidth="1"/>
    <col min="8451" max="8451" width="10.7109375" style="541" customWidth="1"/>
    <col min="8452" max="8452" width="6.7109375" style="541" customWidth="1"/>
    <col min="8453" max="8453" width="9.7109375" style="541" customWidth="1"/>
    <col min="8454" max="8454" width="10" style="541" customWidth="1"/>
    <col min="8455" max="8455" width="9.7109375" style="541" customWidth="1"/>
    <col min="8456" max="8456" width="9.42578125" style="541" bestFit="1" customWidth="1"/>
    <col min="8457" max="8457" width="9.42578125" style="541" customWidth="1"/>
    <col min="8458" max="8704" width="9.140625" style="541"/>
    <col min="8705" max="8705" width="6.7109375" style="541" customWidth="1"/>
    <col min="8706" max="8706" width="28" style="541" customWidth="1"/>
    <col min="8707" max="8707" width="10.7109375" style="541" customWidth="1"/>
    <col min="8708" max="8708" width="6.7109375" style="541" customWidth="1"/>
    <col min="8709" max="8709" width="9.7109375" style="541" customWidth="1"/>
    <col min="8710" max="8710" width="10" style="541" customWidth="1"/>
    <col min="8711" max="8711" width="9.7109375" style="541" customWidth="1"/>
    <col min="8712" max="8712" width="9.42578125" style="541" bestFit="1" customWidth="1"/>
    <col min="8713" max="8713" width="9.42578125" style="541" customWidth="1"/>
    <col min="8714" max="8960" width="9.140625" style="541"/>
    <col min="8961" max="8961" width="6.7109375" style="541" customWidth="1"/>
    <col min="8962" max="8962" width="28" style="541" customWidth="1"/>
    <col min="8963" max="8963" width="10.7109375" style="541" customWidth="1"/>
    <col min="8964" max="8964" width="6.7109375" style="541" customWidth="1"/>
    <col min="8965" max="8965" width="9.7109375" style="541" customWidth="1"/>
    <col min="8966" max="8966" width="10" style="541" customWidth="1"/>
    <col min="8967" max="8967" width="9.7109375" style="541" customWidth="1"/>
    <col min="8968" max="8968" width="9.42578125" style="541" bestFit="1" customWidth="1"/>
    <col min="8969" max="8969" width="9.42578125" style="541" customWidth="1"/>
    <col min="8970" max="9216" width="9.140625" style="541"/>
    <col min="9217" max="9217" width="6.7109375" style="541" customWidth="1"/>
    <col min="9218" max="9218" width="28" style="541" customWidth="1"/>
    <col min="9219" max="9219" width="10.7109375" style="541" customWidth="1"/>
    <col min="9220" max="9220" width="6.7109375" style="541" customWidth="1"/>
    <col min="9221" max="9221" width="9.7109375" style="541" customWidth="1"/>
    <col min="9222" max="9222" width="10" style="541" customWidth="1"/>
    <col min="9223" max="9223" width="9.7109375" style="541" customWidth="1"/>
    <col min="9224" max="9224" width="9.42578125" style="541" bestFit="1" customWidth="1"/>
    <col min="9225" max="9225" width="9.42578125" style="541" customWidth="1"/>
    <col min="9226" max="9472" width="9.140625" style="541"/>
    <col min="9473" max="9473" width="6.7109375" style="541" customWidth="1"/>
    <col min="9474" max="9474" width="28" style="541" customWidth="1"/>
    <col min="9475" max="9475" width="10.7109375" style="541" customWidth="1"/>
    <col min="9476" max="9476" width="6.7109375" style="541" customWidth="1"/>
    <col min="9477" max="9477" width="9.7109375" style="541" customWidth="1"/>
    <col min="9478" max="9478" width="10" style="541" customWidth="1"/>
    <col min="9479" max="9479" width="9.7109375" style="541" customWidth="1"/>
    <col min="9480" max="9480" width="9.42578125" style="541" bestFit="1" customWidth="1"/>
    <col min="9481" max="9481" width="9.42578125" style="541" customWidth="1"/>
    <col min="9482" max="9728" width="9.140625" style="541"/>
    <col min="9729" max="9729" width="6.7109375" style="541" customWidth="1"/>
    <col min="9730" max="9730" width="28" style="541" customWidth="1"/>
    <col min="9731" max="9731" width="10.7109375" style="541" customWidth="1"/>
    <col min="9732" max="9732" width="6.7109375" style="541" customWidth="1"/>
    <col min="9733" max="9733" width="9.7109375" style="541" customWidth="1"/>
    <col min="9734" max="9734" width="10" style="541" customWidth="1"/>
    <col min="9735" max="9735" width="9.7109375" style="541" customWidth="1"/>
    <col min="9736" max="9736" width="9.42578125" style="541" bestFit="1" customWidth="1"/>
    <col min="9737" max="9737" width="9.42578125" style="541" customWidth="1"/>
    <col min="9738" max="9984" width="9.140625" style="541"/>
    <col min="9985" max="9985" width="6.7109375" style="541" customWidth="1"/>
    <col min="9986" max="9986" width="28" style="541" customWidth="1"/>
    <col min="9987" max="9987" width="10.7109375" style="541" customWidth="1"/>
    <col min="9988" max="9988" width="6.7109375" style="541" customWidth="1"/>
    <col min="9989" max="9989" width="9.7109375" style="541" customWidth="1"/>
    <col min="9990" max="9990" width="10" style="541" customWidth="1"/>
    <col min="9991" max="9991" width="9.7109375" style="541" customWidth="1"/>
    <col min="9992" max="9992" width="9.42578125" style="541" bestFit="1" customWidth="1"/>
    <col min="9993" max="9993" width="9.42578125" style="541" customWidth="1"/>
    <col min="9994" max="10240" width="9.140625" style="541"/>
    <col min="10241" max="10241" width="6.7109375" style="541" customWidth="1"/>
    <col min="10242" max="10242" width="28" style="541" customWidth="1"/>
    <col min="10243" max="10243" width="10.7109375" style="541" customWidth="1"/>
    <col min="10244" max="10244" width="6.7109375" style="541" customWidth="1"/>
    <col min="10245" max="10245" width="9.7109375" style="541" customWidth="1"/>
    <col min="10246" max="10246" width="10" style="541" customWidth="1"/>
    <col min="10247" max="10247" width="9.7109375" style="541" customWidth="1"/>
    <col min="10248" max="10248" width="9.42578125" style="541" bestFit="1" customWidth="1"/>
    <col min="10249" max="10249" width="9.42578125" style="541" customWidth="1"/>
    <col min="10250" max="10496" width="9.140625" style="541"/>
    <col min="10497" max="10497" width="6.7109375" style="541" customWidth="1"/>
    <col min="10498" max="10498" width="28" style="541" customWidth="1"/>
    <col min="10499" max="10499" width="10.7109375" style="541" customWidth="1"/>
    <col min="10500" max="10500" width="6.7109375" style="541" customWidth="1"/>
    <col min="10501" max="10501" width="9.7109375" style="541" customWidth="1"/>
    <col min="10502" max="10502" width="10" style="541" customWidth="1"/>
    <col min="10503" max="10503" width="9.7109375" style="541" customWidth="1"/>
    <col min="10504" max="10504" width="9.42578125" style="541" bestFit="1" customWidth="1"/>
    <col min="10505" max="10505" width="9.42578125" style="541" customWidth="1"/>
    <col min="10506" max="10752" width="9.140625" style="541"/>
    <col min="10753" max="10753" width="6.7109375" style="541" customWidth="1"/>
    <col min="10754" max="10754" width="28" style="541" customWidth="1"/>
    <col min="10755" max="10755" width="10.7109375" style="541" customWidth="1"/>
    <col min="10756" max="10756" width="6.7109375" style="541" customWidth="1"/>
    <col min="10757" max="10757" width="9.7109375" style="541" customWidth="1"/>
    <col min="10758" max="10758" width="10" style="541" customWidth="1"/>
    <col min="10759" max="10759" width="9.7109375" style="541" customWidth="1"/>
    <col min="10760" max="10760" width="9.42578125" style="541" bestFit="1" customWidth="1"/>
    <col min="10761" max="10761" width="9.42578125" style="541" customWidth="1"/>
    <col min="10762" max="11008" width="9.140625" style="541"/>
    <col min="11009" max="11009" width="6.7109375" style="541" customWidth="1"/>
    <col min="11010" max="11010" width="28" style="541" customWidth="1"/>
    <col min="11011" max="11011" width="10.7109375" style="541" customWidth="1"/>
    <col min="11012" max="11012" width="6.7109375" style="541" customWidth="1"/>
    <col min="11013" max="11013" width="9.7109375" style="541" customWidth="1"/>
    <col min="11014" max="11014" width="10" style="541" customWidth="1"/>
    <col min="11015" max="11015" width="9.7109375" style="541" customWidth="1"/>
    <col min="11016" max="11016" width="9.42578125" style="541" bestFit="1" customWidth="1"/>
    <col min="11017" max="11017" width="9.42578125" style="541" customWidth="1"/>
    <col min="11018" max="11264" width="9.140625" style="541"/>
    <col min="11265" max="11265" width="6.7109375" style="541" customWidth="1"/>
    <col min="11266" max="11266" width="28" style="541" customWidth="1"/>
    <col min="11267" max="11267" width="10.7109375" style="541" customWidth="1"/>
    <col min="11268" max="11268" width="6.7109375" style="541" customWidth="1"/>
    <col min="11269" max="11269" width="9.7109375" style="541" customWidth="1"/>
    <col min="11270" max="11270" width="10" style="541" customWidth="1"/>
    <col min="11271" max="11271" width="9.7109375" style="541" customWidth="1"/>
    <col min="11272" max="11272" width="9.42578125" style="541" bestFit="1" customWidth="1"/>
    <col min="11273" max="11273" width="9.42578125" style="541" customWidth="1"/>
    <col min="11274" max="11520" width="9.140625" style="541"/>
    <col min="11521" max="11521" width="6.7109375" style="541" customWidth="1"/>
    <col min="11522" max="11522" width="28" style="541" customWidth="1"/>
    <col min="11523" max="11523" width="10.7109375" style="541" customWidth="1"/>
    <col min="11524" max="11524" width="6.7109375" style="541" customWidth="1"/>
    <col min="11525" max="11525" width="9.7109375" style="541" customWidth="1"/>
    <col min="11526" max="11526" width="10" style="541" customWidth="1"/>
    <col min="11527" max="11527" width="9.7109375" style="541" customWidth="1"/>
    <col min="11528" max="11528" width="9.42578125" style="541" bestFit="1" customWidth="1"/>
    <col min="11529" max="11529" width="9.42578125" style="541" customWidth="1"/>
    <col min="11530" max="11776" width="9.140625" style="541"/>
    <col min="11777" max="11777" width="6.7109375" style="541" customWidth="1"/>
    <col min="11778" max="11778" width="28" style="541" customWidth="1"/>
    <col min="11779" max="11779" width="10.7109375" style="541" customWidth="1"/>
    <col min="11780" max="11780" width="6.7109375" style="541" customWidth="1"/>
    <col min="11781" max="11781" width="9.7109375" style="541" customWidth="1"/>
    <col min="11782" max="11782" width="10" style="541" customWidth="1"/>
    <col min="11783" max="11783" width="9.7109375" style="541" customWidth="1"/>
    <col min="11784" max="11784" width="9.42578125" style="541" bestFit="1" customWidth="1"/>
    <col min="11785" max="11785" width="9.42578125" style="541" customWidth="1"/>
    <col min="11786" max="12032" width="9.140625" style="541"/>
    <col min="12033" max="12033" width="6.7109375" style="541" customWidth="1"/>
    <col min="12034" max="12034" width="28" style="541" customWidth="1"/>
    <col min="12035" max="12035" width="10.7109375" style="541" customWidth="1"/>
    <col min="12036" max="12036" width="6.7109375" style="541" customWidth="1"/>
    <col min="12037" max="12037" width="9.7109375" style="541" customWidth="1"/>
    <col min="12038" max="12038" width="10" style="541" customWidth="1"/>
    <col min="12039" max="12039" width="9.7109375" style="541" customWidth="1"/>
    <col min="12040" max="12040" width="9.42578125" style="541" bestFit="1" customWidth="1"/>
    <col min="12041" max="12041" width="9.42578125" style="541" customWidth="1"/>
    <col min="12042" max="12288" width="9.140625" style="541"/>
    <col min="12289" max="12289" width="6.7109375" style="541" customWidth="1"/>
    <col min="12290" max="12290" width="28" style="541" customWidth="1"/>
    <col min="12291" max="12291" width="10.7109375" style="541" customWidth="1"/>
    <col min="12292" max="12292" width="6.7109375" style="541" customWidth="1"/>
    <col min="12293" max="12293" width="9.7109375" style="541" customWidth="1"/>
    <col min="12294" max="12294" width="10" style="541" customWidth="1"/>
    <col min="12295" max="12295" width="9.7109375" style="541" customWidth="1"/>
    <col min="12296" max="12296" width="9.42578125" style="541" bestFit="1" customWidth="1"/>
    <col min="12297" max="12297" width="9.42578125" style="541" customWidth="1"/>
    <col min="12298" max="12544" width="9.140625" style="541"/>
    <col min="12545" max="12545" width="6.7109375" style="541" customWidth="1"/>
    <col min="12546" max="12546" width="28" style="541" customWidth="1"/>
    <col min="12547" max="12547" width="10.7109375" style="541" customWidth="1"/>
    <col min="12548" max="12548" width="6.7109375" style="541" customWidth="1"/>
    <col min="12549" max="12549" width="9.7109375" style="541" customWidth="1"/>
    <col min="12550" max="12550" width="10" style="541" customWidth="1"/>
    <col min="12551" max="12551" width="9.7109375" style="541" customWidth="1"/>
    <col min="12552" max="12552" width="9.42578125" style="541" bestFit="1" customWidth="1"/>
    <col min="12553" max="12553" width="9.42578125" style="541" customWidth="1"/>
    <col min="12554" max="12800" width="9.140625" style="541"/>
    <col min="12801" max="12801" width="6.7109375" style="541" customWidth="1"/>
    <col min="12802" max="12802" width="28" style="541" customWidth="1"/>
    <col min="12803" max="12803" width="10.7109375" style="541" customWidth="1"/>
    <col min="12804" max="12804" width="6.7109375" style="541" customWidth="1"/>
    <col min="12805" max="12805" width="9.7109375" style="541" customWidth="1"/>
    <col min="12806" max="12806" width="10" style="541" customWidth="1"/>
    <col min="12807" max="12807" width="9.7109375" style="541" customWidth="1"/>
    <col min="12808" max="12808" width="9.42578125" style="541" bestFit="1" customWidth="1"/>
    <col min="12809" max="12809" width="9.42578125" style="541" customWidth="1"/>
    <col min="12810" max="13056" width="9.140625" style="541"/>
    <col min="13057" max="13057" width="6.7109375" style="541" customWidth="1"/>
    <col min="13058" max="13058" width="28" style="541" customWidth="1"/>
    <col min="13059" max="13059" width="10.7109375" style="541" customWidth="1"/>
    <col min="13060" max="13060" width="6.7109375" style="541" customWidth="1"/>
    <col min="13061" max="13061" width="9.7109375" style="541" customWidth="1"/>
    <col min="13062" max="13062" width="10" style="541" customWidth="1"/>
    <col min="13063" max="13063" width="9.7109375" style="541" customWidth="1"/>
    <col min="13064" max="13064" width="9.42578125" style="541" bestFit="1" customWidth="1"/>
    <col min="13065" max="13065" width="9.42578125" style="541" customWidth="1"/>
    <col min="13066" max="13312" width="9.140625" style="541"/>
    <col min="13313" max="13313" width="6.7109375" style="541" customWidth="1"/>
    <col min="13314" max="13314" width="28" style="541" customWidth="1"/>
    <col min="13315" max="13315" width="10.7109375" style="541" customWidth="1"/>
    <col min="13316" max="13316" width="6.7109375" style="541" customWidth="1"/>
    <col min="13317" max="13317" width="9.7109375" style="541" customWidth="1"/>
    <col min="13318" max="13318" width="10" style="541" customWidth="1"/>
    <col min="13319" max="13319" width="9.7109375" style="541" customWidth="1"/>
    <col min="13320" max="13320" width="9.42578125" style="541" bestFit="1" customWidth="1"/>
    <col min="13321" max="13321" width="9.42578125" style="541" customWidth="1"/>
    <col min="13322" max="13568" width="9.140625" style="541"/>
    <col min="13569" max="13569" width="6.7109375" style="541" customWidth="1"/>
    <col min="13570" max="13570" width="28" style="541" customWidth="1"/>
    <col min="13571" max="13571" width="10.7109375" style="541" customWidth="1"/>
    <col min="13572" max="13572" width="6.7109375" style="541" customWidth="1"/>
    <col min="13573" max="13573" width="9.7109375" style="541" customWidth="1"/>
    <col min="13574" max="13574" width="10" style="541" customWidth="1"/>
    <col min="13575" max="13575" width="9.7109375" style="541" customWidth="1"/>
    <col min="13576" max="13576" width="9.42578125" style="541" bestFit="1" customWidth="1"/>
    <col min="13577" max="13577" width="9.42578125" style="541" customWidth="1"/>
    <col min="13578" max="13824" width="9.140625" style="541"/>
    <col min="13825" max="13825" width="6.7109375" style="541" customWidth="1"/>
    <col min="13826" max="13826" width="28" style="541" customWidth="1"/>
    <col min="13827" max="13827" width="10.7109375" style="541" customWidth="1"/>
    <col min="13828" max="13828" width="6.7109375" style="541" customWidth="1"/>
    <col min="13829" max="13829" width="9.7109375" style="541" customWidth="1"/>
    <col min="13830" max="13830" width="10" style="541" customWidth="1"/>
    <col min="13831" max="13831" width="9.7109375" style="541" customWidth="1"/>
    <col min="13832" max="13832" width="9.42578125" style="541" bestFit="1" customWidth="1"/>
    <col min="13833" max="13833" width="9.42578125" style="541" customWidth="1"/>
    <col min="13834" max="14080" width="9.140625" style="541"/>
    <col min="14081" max="14081" width="6.7109375" style="541" customWidth="1"/>
    <col min="14082" max="14082" width="28" style="541" customWidth="1"/>
    <col min="14083" max="14083" width="10.7109375" style="541" customWidth="1"/>
    <col min="14084" max="14084" width="6.7109375" style="541" customWidth="1"/>
    <col min="14085" max="14085" width="9.7109375" style="541" customWidth="1"/>
    <col min="14086" max="14086" width="10" style="541" customWidth="1"/>
    <col min="14087" max="14087" width="9.7109375" style="541" customWidth="1"/>
    <col min="14088" max="14088" width="9.42578125" style="541" bestFit="1" customWidth="1"/>
    <col min="14089" max="14089" width="9.42578125" style="541" customWidth="1"/>
    <col min="14090" max="14336" width="9.140625" style="541"/>
    <col min="14337" max="14337" width="6.7109375" style="541" customWidth="1"/>
    <col min="14338" max="14338" width="28" style="541" customWidth="1"/>
    <col min="14339" max="14339" width="10.7109375" style="541" customWidth="1"/>
    <col min="14340" max="14340" width="6.7109375" style="541" customWidth="1"/>
    <col min="14341" max="14341" width="9.7109375" style="541" customWidth="1"/>
    <col min="14342" max="14342" width="10" style="541" customWidth="1"/>
    <col min="14343" max="14343" width="9.7109375" style="541" customWidth="1"/>
    <col min="14344" max="14344" width="9.42578125" style="541" bestFit="1" customWidth="1"/>
    <col min="14345" max="14345" width="9.42578125" style="541" customWidth="1"/>
    <col min="14346" max="14592" width="9.140625" style="541"/>
    <col min="14593" max="14593" width="6.7109375" style="541" customWidth="1"/>
    <col min="14594" max="14594" width="28" style="541" customWidth="1"/>
    <col min="14595" max="14595" width="10.7109375" style="541" customWidth="1"/>
    <col min="14596" max="14596" width="6.7109375" style="541" customWidth="1"/>
    <col min="14597" max="14597" width="9.7109375" style="541" customWidth="1"/>
    <col min="14598" max="14598" width="10" style="541" customWidth="1"/>
    <col min="14599" max="14599" width="9.7109375" style="541" customWidth="1"/>
    <col min="14600" max="14600" width="9.42578125" style="541" bestFit="1" customWidth="1"/>
    <col min="14601" max="14601" width="9.42578125" style="541" customWidth="1"/>
    <col min="14602" max="14848" width="9.140625" style="541"/>
    <col min="14849" max="14849" width="6.7109375" style="541" customWidth="1"/>
    <col min="14850" max="14850" width="28" style="541" customWidth="1"/>
    <col min="14851" max="14851" width="10.7109375" style="541" customWidth="1"/>
    <col min="14852" max="14852" width="6.7109375" style="541" customWidth="1"/>
    <col min="14853" max="14853" width="9.7109375" style="541" customWidth="1"/>
    <col min="14854" max="14854" width="10" style="541" customWidth="1"/>
    <col min="14855" max="14855" width="9.7109375" style="541" customWidth="1"/>
    <col min="14856" max="14856" width="9.42578125" style="541" bestFit="1" customWidth="1"/>
    <col min="14857" max="14857" width="9.42578125" style="541" customWidth="1"/>
    <col min="14858" max="15104" width="9.140625" style="541"/>
    <col min="15105" max="15105" width="6.7109375" style="541" customWidth="1"/>
    <col min="15106" max="15106" width="28" style="541" customWidth="1"/>
    <col min="15107" max="15107" width="10.7109375" style="541" customWidth="1"/>
    <col min="15108" max="15108" width="6.7109375" style="541" customWidth="1"/>
    <col min="15109" max="15109" width="9.7109375" style="541" customWidth="1"/>
    <col min="15110" max="15110" width="10" style="541" customWidth="1"/>
    <col min="15111" max="15111" width="9.7109375" style="541" customWidth="1"/>
    <col min="15112" max="15112" width="9.42578125" style="541" bestFit="1" customWidth="1"/>
    <col min="15113" max="15113" width="9.42578125" style="541" customWidth="1"/>
    <col min="15114" max="15360" width="9.140625" style="541"/>
    <col min="15361" max="15361" width="6.7109375" style="541" customWidth="1"/>
    <col min="15362" max="15362" width="28" style="541" customWidth="1"/>
    <col min="15363" max="15363" width="10.7109375" style="541" customWidth="1"/>
    <col min="15364" max="15364" width="6.7109375" style="541" customWidth="1"/>
    <col min="15365" max="15365" width="9.7109375" style="541" customWidth="1"/>
    <col min="15366" max="15366" width="10" style="541" customWidth="1"/>
    <col min="15367" max="15367" width="9.7109375" style="541" customWidth="1"/>
    <col min="15368" max="15368" width="9.42578125" style="541" bestFit="1" customWidth="1"/>
    <col min="15369" max="15369" width="9.42578125" style="541" customWidth="1"/>
    <col min="15370" max="15616" width="9.140625" style="541"/>
    <col min="15617" max="15617" width="6.7109375" style="541" customWidth="1"/>
    <col min="15618" max="15618" width="28" style="541" customWidth="1"/>
    <col min="15619" max="15619" width="10.7109375" style="541" customWidth="1"/>
    <col min="15620" max="15620" width="6.7109375" style="541" customWidth="1"/>
    <col min="15621" max="15621" width="9.7109375" style="541" customWidth="1"/>
    <col min="15622" max="15622" width="10" style="541" customWidth="1"/>
    <col min="15623" max="15623" width="9.7109375" style="541" customWidth="1"/>
    <col min="15624" max="15624" width="9.42578125" style="541" bestFit="1" customWidth="1"/>
    <col min="15625" max="15625" width="9.42578125" style="541" customWidth="1"/>
    <col min="15626" max="15872" width="9.140625" style="541"/>
    <col min="15873" max="15873" width="6.7109375" style="541" customWidth="1"/>
    <col min="15874" max="15874" width="28" style="541" customWidth="1"/>
    <col min="15875" max="15875" width="10.7109375" style="541" customWidth="1"/>
    <col min="15876" max="15876" width="6.7109375" style="541" customWidth="1"/>
    <col min="15877" max="15877" width="9.7109375" style="541" customWidth="1"/>
    <col min="15878" max="15878" width="10" style="541" customWidth="1"/>
    <col min="15879" max="15879" width="9.7109375" style="541" customWidth="1"/>
    <col min="15880" max="15880" width="9.42578125" style="541" bestFit="1" customWidth="1"/>
    <col min="15881" max="15881" width="9.42578125" style="541" customWidth="1"/>
    <col min="15882" max="16128" width="9.140625" style="541"/>
    <col min="16129" max="16129" width="6.7109375" style="541" customWidth="1"/>
    <col min="16130" max="16130" width="28" style="541" customWidth="1"/>
    <col min="16131" max="16131" width="10.7109375" style="541" customWidth="1"/>
    <col min="16132" max="16132" width="6.7109375" style="541" customWidth="1"/>
    <col min="16133" max="16133" width="9.7109375" style="541" customWidth="1"/>
    <col min="16134" max="16134" width="10" style="541" customWidth="1"/>
    <col min="16135" max="16135" width="9.7109375" style="541" customWidth="1"/>
    <col min="16136" max="16136" width="9.42578125" style="541" bestFit="1" customWidth="1"/>
    <col min="16137" max="16137" width="9.42578125" style="541" customWidth="1"/>
    <col min="16138" max="16384" width="9.140625" style="541"/>
  </cols>
  <sheetData>
    <row r="1" spans="1:17" s="540" customFormat="1" ht="29.25" customHeight="1">
      <c r="A1" s="771" t="s">
        <v>1123</v>
      </c>
      <c r="B1" s="771"/>
      <c r="C1" s="771"/>
      <c r="D1" s="771"/>
      <c r="E1" s="771"/>
      <c r="F1" s="771"/>
      <c r="G1" s="771"/>
      <c r="H1" s="771"/>
      <c r="I1" s="771"/>
      <c r="J1" s="771"/>
      <c r="K1" s="771"/>
      <c r="L1" s="771"/>
      <c r="M1" s="771"/>
      <c r="N1" s="771"/>
      <c r="O1" s="771"/>
      <c r="P1" s="771"/>
      <c r="Q1" s="771"/>
    </row>
    <row r="2" spans="1:17" s="621" customFormat="1" ht="15.75" customHeight="1">
      <c r="A2" s="772" t="s">
        <v>1015</v>
      </c>
      <c r="B2" s="772"/>
      <c r="C2" s="772"/>
      <c r="D2" s="772"/>
      <c r="E2" s="772"/>
      <c r="F2" s="772"/>
      <c r="G2" s="772"/>
      <c r="H2" s="772"/>
      <c r="I2" s="772"/>
      <c r="J2" s="772"/>
      <c r="K2" s="772"/>
      <c r="L2" s="772"/>
      <c r="M2" s="772"/>
      <c r="N2" s="772"/>
      <c r="O2" s="772"/>
      <c r="P2" s="772"/>
      <c r="Q2" s="772"/>
    </row>
    <row r="3" spans="1:17" s="621" customFormat="1" ht="18.75" customHeight="1">
      <c r="A3" s="772" t="s">
        <v>1016</v>
      </c>
      <c r="B3" s="772"/>
      <c r="C3" s="772"/>
      <c r="D3" s="772"/>
      <c r="E3" s="772"/>
      <c r="F3" s="772"/>
      <c r="G3" s="772"/>
      <c r="H3" s="772"/>
      <c r="I3" s="772"/>
      <c r="J3" s="772"/>
      <c r="K3" s="772"/>
      <c r="L3" s="772"/>
      <c r="M3" s="772"/>
      <c r="N3" s="772"/>
      <c r="O3" s="772"/>
      <c r="P3" s="772"/>
      <c r="Q3" s="772"/>
    </row>
    <row r="4" spans="1:17" s="621" customFormat="1" ht="7.5" customHeight="1">
      <c r="A4" s="670"/>
      <c r="B4" s="670"/>
      <c r="C4" s="670"/>
      <c r="D4" s="670"/>
      <c r="E4" s="670"/>
      <c r="F4" s="670"/>
      <c r="G4" s="670"/>
      <c r="H4" s="670"/>
      <c r="I4" s="670"/>
      <c r="J4" s="670"/>
      <c r="K4" s="670"/>
      <c r="L4" s="670"/>
      <c r="M4" s="670"/>
      <c r="N4" s="670"/>
      <c r="O4" s="670"/>
      <c r="P4" s="670"/>
      <c r="Q4" s="620"/>
    </row>
    <row r="5" spans="1:17" s="621" customFormat="1" ht="15.75">
      <c r="A5" s="670"/>
      <c r="B5" s="671" t="s">
        <v>1124</v>
      </c>
      <c r="C5" s="670"/>
      <c r="D5" s="670"/>
      <c r="E5" s="670"/>
      <c r="F5" s="670"/>
      <c r="G5" s="670"/>
      <c r="H5" s="670"/>
      <c r="I5" s="670"/>
      <c r="J5" s="670"/>
      <c r="K5" s="670"/>
      <c r="L5" s="670"/>
      <c r="M5" s="670"/>
      <c r="N5" s="670"/>
      <c r="O5" s="670"/>
      <c r="P5" s="670"/>
      <c r="Q5" s="620"/>
    </row>
    <row r="6" spans="1:17" s="621" customFormat="1" ht="15.75">
      <c r="A6" s="670"/>
      <c r="B6" s="773" t="s">
        <v>1127</v>
      </c>
      <c r="C6" s="773"/>
      <c r="D6" s="773"/>
      <c r="E6" s="773"/>
      <c r="F6" s="773"/>
      <c r="G6" s="773"/>
      <c r="H6" s="773"/>
      <c r="I6" s="773"/>
      <c r="J6" s="773"/>
      <c r="K6" s="773"/>
      <c r="L6" s="773"/>
      <c r="M6" s="773"/>
      <c r="N6" s="773"/>
      <c r="O6" s="773"/>
      <c r="P6" s="773"/>
      <c r="Q6" s="620"/>
    </row>
    <row r="7" spans="1:17" s="621" customFormat="1" ht="15.75">
      <c r="A7" s="670"/>
      <c r="B7" s="675" t="s">
        <v>1150</v>
      </c>
      <c r="C7" s="676"/>
      <c r="D7" s="676"/>
      <c r="E7" s="676"/>
      <c r="F7" s="676"/>
      <c r="G7" s="676"/>
      <c r="H7" s="676"/>
      <c r="I7" s="676"/>
      <c r="J7" s="676"/>
      <c r="K7" s="676"/>
      <c r="L7" s="676"/>
      <c r="M7" s="676"/>
      <c r="N7" s="676"/>
      <c r="O7" s="676"/>
      <c r="P7" s="676"/>
      <c r="Q7" s="620"/>
    </row>
    <row r="8" spans="1:17" s="621" customFormat="1" ht="15.75">
      <c r="A8" s="721"/>
      <c r="B8" s="675" t="s">
        <v>1167</v>
      </c>
      <c r="C8" s="676"/>
      <c r="D8" s="676"/>
      <c r="E8" s="676"/>
      <c r="F8" s="676"/>
      <c r="G8" s="676"/>
      <c r="H8" s="676"/>
      <c r="I8" s="676"/>
      <c r="J8" s="676"/>
      <c r="K8" s="676"/>
      <c r="L8" s="676"/>
      <c r="M8" s="676"/>
      <c r="N8" s="676"/>
      <c r="O8" s="676"/>
      <c r="P8" s="676"/>
      <c r="Q8" s="620"/>
    </row>
    <row r="9" spans="1:17" s="621" customFormat="1" ht="15.75">
      <c r="A9" s="721"/>
      <c r="B9" s="675" t="s">
        <v>1168</v>
      </c>
      <c r="C9" s="676"/>
      <c r="D9" s="676"/>
      <c r="E9" s="676"/>
      <c r="F9" s="676"/>
      <c r="G9" s="676"/>
      <c r="H9" s="676"/>
      <c r="I9" s="676"/>
      <c r="J9" s="676"/>
      <c r="K9" s="676"/>
      <c r="L9" s="676"/>
      <c r="M9" s="676"/>
      <c r="N9" s="676"/>
      <c r="O9" s="676"/>
      <c r="P9" s="676"/>
      <c r="Q9" s="620"/>
    </row>
    <row r="10" spans="1:17" s="621" customFormat="1" ht="15.75">
      <c r="A10" s="670"/>
      <c r="B10" s="675"/>
      <c r="C10" s="676"/>
      <c r="D10" s="676"/>
      <c r="E10" s="676"/>
      <c r="F10" s="676"/>
      <c r="G10" s="676"/>
      <c r="H10" s="676"/>
      <c r="I10" s="676"/>
      <c r="J10" s="676"/>
      <c r="K10" s="676"/>
      <c r="L10" s="676"/>
      <c r="M10" s="676"/>
      <c r="N10" s="676"/>
      <c r="O10" s="676"/>
      <c r="P10" s="676"/>
      <c r="Q10" s="620"/>
    </row>
    <row r="11" spans="1:17" s="621" customFormat="1" ht="18.75" customHeight="1">
      <c r="A11" s="670"/>
      <c r="B11" s="619" t="s">
        <v>1131</v>
      </c>
      <c r="C11" s="619"/>
      <c r="D11" s="670"/>
      <c r="E11" s="670"/>
      <c r="F11" s="670"/>
      <c r="G11" s="670"/>
      <c r="H11" s="670"/>
      <c r="I11" s="670"/>
      <c r="J11" s="670"/>
      <c r="K11" s="670"/>
      <c r="L11" s="670"/>
      <c r="M11" s="670"/>
      <c r="N11" s="670"/>
      <c r="O11" s="670"/>
      <c r="P11" s="670"/>
      <c r="Q11" s="620"/>
    </row>
    <row r="12" spans="1:17" s="621" customFormat="1" ht="18.75" customHeight="1">
      <c r="A12" s="670"/>
      <c r="B12" s="618" t="s">
        <v>1012</v>
      </c>
      <c r="C12" s="618"/>
      <c r="D12" s="670"/>
      <c r="E12" s="670"/>
      <c r="F12" s="670"/>
      <c r="G12" s="670"/>
      <c r="H12" s="670"/>
      <c r="I12" s="670"/>
      <c r="J12" s="670"/>
      <c r="K12" s="670"/>
      <c r="L12" s="670"/>
      <c r="M12" s="670"/>
      <c r="N12" s="670"/>
      <c r="O12" s="670"/>
      <c r="P12" s="670"/>
      <c r="Q12" s="620"/>
    </row>
    <row r="13" spans="1:17" s="621" customFormat="1" ht="15.75">
      <c r="A13" s="670"/>
      <c r="B13" s="671" t="s">
        <v>1005</v>
      </c>
      <c r="C13" s="671"/>
      <c r="D13" s="670"/>
      <c r="E13" s="670"/>
      <c r="F13" s="670"/>
      <c r="G13" s="670"/>
      <c r="H13" s="670"/>
      <c r="I13" s="670"/>
      <c r="J13" s="670"/>
      <c r="K13" s="670"/>
      <c r="L13" s="670"/>
      <c r="M13" s="670"/>
      <c r="N13" s="670"/>
      <c r="O13" s="670"/>
      <c r="P13" s="670"/>
      <c r="Q13" s="620"/>
    </row>
    <row r="14" spans="1:17" s="621" customFormat="1" ht="18.75" customHeight="1">
      <c r="A14" s="670"/>
      <c r="B14" s="626" t="s">
        <v>1132</v>
      </c>
      <c r="C14" s="626"/>
      <c r="D14" s="670"/>
      <c r="E14" s="670"/>
      <c r="F14" s="670"/>
      <c r="G14" s="670"/>
      <c r="H14" s="670"/>
      <c r="I14" s="670"/>
      <c r="J14" s="670"/>
      <c r="K14" s="670"/>
      <c r="L14" s="670"/>
      <c r="M14" s="670"/>
      <c r="N14" s="670"/>
      <c r="O14" s="670"/>
      <c r="P14" s="670"/>
      <c r="Q14" s="620"/>
    </row>
    <row r="15" spans="1:17" s="621" customFormat="1" ht="18.75" customHeight="1">
      <c r="A15" s="670"/>
      <c r="B15" s="619" t="s">
        <v>1006</v>
      </c>
      <c r="C15" s="619"/>
      <c r="D15" s="623"/>
      <c r="E15" s="625"/>
      <c r="F15" s="623"/>
      <c r="G15" s="623"/>
      <c r="H15" s="623"/>
      <c r="I15" s="670"/>
      <c r="J15" s="670"/>
      <c r="K15" s="670"/>
      <c r="L15" s="670"/>
      <c r="M15" s="670"/>
      <c r="N15" s="670"/>
      <c r="O15" s="670"/>
      <c r="P15" s="670"/>
      <c r="Q15" s="620"/>
    </row>
    <row r="16" spans="1:17" s="621" customFormat="1" ht="18.75" customHeight="1">
      <c r="A16" s="670"/>
      <c r="B16" s="670"/>
      <c r="C16" s="670"/>
      <c r="D16" s="670"/>
      <c r="E16" s="670"/>
      <c r="F16" s="670"/>
      <c r="G16" s="670"/>
      <c r="H16" s="670"/>
      <c r="I16" s="670"/>
      <c r="J16" s="670"/>
      <c r="K16" s="670"/>
      <c r="L16" s="670"/>
      <c r="M16" s="670"/>
      <c r="N16" s="670"/>
      <c r="O16" s="670"/>
      <c r="P16" s="670"/>
      <c r="Q16" s="620"/>
    </row>
    <row r="17" spans="1:17" s="621" customFormat="1" ht="18.75" customHeight="1">
      <c r="A17" s="618"/>
      <c r="B17" s="619" t="s">
        <v>1007</v>
      </c>
      <c r="C17" s="619"/>
      <c r="D17" s="618"/>
      <c r="E17" s="618"/>
      <c r="F17" s="618"/>
      <c r="G17" s="618"/>
      <c r="H17" s="618"/>
      <c r="I17" s="618"/>
      <c r="J17" s="618"/>
      <c r="K17" s="618"/>
      <c r="L17" s="618"/>
      <c r="M17" s="618"/>
      <c r="N17" s="618"/>
      <c r="O17" s="618"/>
      <c r="P17" s="618"/>
      <c r="Q17" s="620"/>
    </row>
    <row r="18" spans="1:17" s="621" customFormat="1" ht="35.25" customHeight="1">
      <c r="A18" s="618"/>
      <c r="B18" s="770" t="s">
        <v>1128</v>
      </c>
      <c r="C18" s="770"/>
      <c r="D18" s="770"/>
      <c r="E18" s="770"/>
      <c r="F18" s="770"/>
      <c r="G18" s="770"/>
      <c r="H18" s="770"/>
      <c r="I18" s="770"/>
      <c r="J18" s="770"/>
      <c r="K18" s="770"/>
      <c r="L18" s="770"/>
      <c r="M18" s="770"/>
      <c r="N18" s="770"/>
      <c r="O18" s="770"/>
      <c r="P18" s="770"/>
      <c r="Q18" s="770"/>
    </row>
    <row r="19" spans="1:17" s="621" customFormat="1" ht="15.75">
      <c r="A19" s="673"/>
      <c r="B19" s="619" t="s">
        <v>1152</v>
      </c>
      <c r="C19" s="674"/>
      <c r="D19" s="674"/>
      <c r="E19" s="674"/>
      <c r="F19" s="674"/>
      <c r="G19" s="674"/>
      <c r="H19" s="674"/>
      <c r="I19" s="674"/>
      <c r="J19" s="674"/>
      <c r="K19" s="674"/>
      <c r="L19" s="674"/>
      <c r="M19" s="674"/>
      <c r="N19" s="674"/>
      <c r="O19" s="674"/>
      <c r="P19" s="674"/>
      <c r="Q19" s="674"/>
    </row>
    <row r="20" spans="1:17" s="621" customFormat="1" ht="18.75" customHeight="1">
      <c r="A20" s="618"/>
      <c r="B20" s="622" t="s">
        <v>1125</v>
      </c>
      <c r="C20" s="619" t="s">
        <v>1002</v>
      </c>
      <c r="E20" s="618"/>
      <c r="F20" s="618"/>
      <c r="G20" s="618"/>
      <c r="H20" s="618"/>
      <c r="I20" s="618"/>
      <c r="J20" s="618"/>
      <c r="K20" s="618"/>
      <c r="L20" s="618"/>
      <c r="M20" s="618"/>
      <c r="N20" s="618"/>
      <c r="O20" s="618"/>
      <c r="P20" s="618"/>
      <c r="Q20" s="620"/>
    </row>
    <row r="21" spans="1:17" s="621" customFormat="1" ht="18.75" customHeight="1">
      <c r="A21" s="618"/>
      <c r="B21" s="622" t="s">
        <v>1129</v>
      </c>
      <c r="C21" s="619" t="s">
        <v>1003</v>
      </c>
      <c r="E21" s="618"/>
      <c r="F21" s="618"/>
      <c r="G21" s="618"/>
      <c r="H21" s="618"/>
      <c r="I21" s="618"/>
      <c r="J21" s="618"/>
      <c r="K21" s="618"/>
      <c r="L21" s="618"/>
      <c r="M21" s="618"/>
      <c r="N21" s="618"/>
      <c r="O21" s="618"/>
      <c r="P21" s="618"/>
      <c r="Q21" s="620"/>
    </row>
    <row r="22" spans="1:17" s="621" customFormat="1" ht="18.75" customHeight="1">
      <c r="A22" s="618"/>
      <c r="B22" s="622" t="s">
        <v>1130</v>
      </c>
      <c r="C22" s="619" t="s">
        <v>1004</v>
      </c>
      <c r="E22" s="618"/>
      <c r="F22" s="618"/>
      <c r="G22" s="618"/>
      <c r="H22" s="618"/>
      <c r="I22" s="618"/>
      <c r="J22" s="618"/>
      <c r="K22" s="618"/>
      <c r="L22" s="618"/>
      <c r="M22" s="618"/>
      <c r="N22" s="618"/>
      <c r="O22" s="618"/>
      <c r="P22" s="618"/>
      <c r="Q22" s="620"/>
    </row>
    <row r="23" spans="1:17" s="621" customFormat="1" ht="15.75">
      <c r="A23" s="673"/>
      <c r="B23" s="619" t="s">
        <v>1153</v>
      </c>
      <c r="C23" s="674"/>
      <c r="D23" s="674"/>
      <c r="E23" s="674"/>
      <c r="F23" s="674"/>
      <c r="K23" s="674"/>
      <c r="L23" s="674"/>
      <c r="M23" s="674"/>
      <c r="N23" s="674"/>
      <c r="O23" s="674"/>
      <c r="P23" s="674"/>
      <c r="Q23" s="674"/>
    </row>
    <row r="24" spans="1:17" s="621" customFormat="1" ht="18.75" customHeight="1">
      <c r="A24" s="673"/>
      <c r="B24" s="622" t="s">
        <v>1125</v>
      </c>
      <c r="C24" s="619" t="s">
        <v>1002</v>
      </c>
      <c r="E24" s="673"/>
      <c r="F24" s="673"/>
      <c r="G24" s="673"/>
      <c r="H24" s="673"/>
      <c r="I24" s="673"/>
      <c r="J24" s="673"/>
      <c r="K24" s="673"/>
      <c r="L24" s="673"/>
      <c r="M24" s="673"/>
      <c r="N24" s="673"/>
      <c r="O24" s="673"/>
      <c r="P24" s="673"/>
      <c r="Q24" s="620"/>
    </row>
    <row r="25" spans="1:17" s="621" customFormat="1" ht="18.75" customHeight="1">
      <c r="A25" s="673"/>
      <c r="B25" s="622" t="s">
        <v>1129</v>
      </c>
      <c r="C25" s="619" t="s">
        <v>1003</v>
      </c>
      <c r="E25" s="673"/>
      <c r="F25" s="673"/>
      <c r="G25" s="673"/>
      <c r="H25" s="673"/>
      <c r="I25" s="673"/>
      <c r="J25" s="673"/>
      <c r="K25" s="673"/>
      <c r="L25" s="673"/>
      <c r="M25" s="673"/>
      <c r="N25" s="673"/>
      <c r="O25" s="673"/>
      <c r="P25" s="673"/>
      <c r="Q25" s="620"/>
    </row>
    <row r="26" spans="1:17" s="621" customFormat="1" ht="15.75">
      <c r="A26" s="623"/>
      <c r="B26" s="622" t="s">
        <v>1155</v>
      </c>
      <c r="C26" s="619" t="s">
        <v>1004</v>
      </c>
      <c r="E26" s="623"/>
      <c r="F26" s="623"/>
      <c r="G26" s="623"/>
      <c r="H26" s="623"/>
      <c r="I26" s="624"/>
      <c r="J26" s="673"/>
      <c r="K26" s="673"/>
      <c r="L26" s="673"/>
      <c r="M26" s="673"/>
      <c r="N26" s="673"/>
      <c r="O26" s="624"/>
      <c r="P26" s="673"/>
      <c r="Q26" s="620"/>
    </row>
    <row r="27" spans="1:17" s="621" customFormat="1" ht="32.25" customHeight="1">
      <c r="A27" s="670"/>
      <c r="B27" s="770" t="s">
        <v>1156</v>
      </c>
      <c r="C27" s="770"/>
      <c r="D27" s="770"/>
      <c r="E27" s="770"/>
      <c r="F27" s="770"/>
      <c r="G27" s="770"/>
      <c r="H27" s="770"/>
      <c r="I27" s="770"/>
      <c r="J27" s="770"/>
      <c r="K27" s="770"/>
      <c r="L27" s="770"/>
      <c r="M27" s="770"/>
      <c r="N27" s="770"/>
      <c r="O27" s="770"/>
      <c r="P27" s="770"/>
      <c r="Q27" s="770"/>
    </row>
    <row r="28" spans="1:17" s="621" customFormat="1" ht="15.75">
      <c r="A28" s="673"/>
      <c r="B28" s="619" t="s">
        <v>1152</v>
      </c>
      <c r="C28" s="674"/>
      <c r="D28" s="674"/>
      <c r="E28" s="674"/>
      <c r="F28" s="674"/>
      <c r="G28" s="674"/>
      <c r="H28" s="674"/>
      <c r="I28" s="674"/>
      <c r="J28" s="674"/>
      <c r="K28" s="674"/>
      <c r="L28" s="674"/>
      <c r="M28" s="674"/>
      <c r="N28" s="674"/>
      <c r="O28" s="674"/>
      <c r="P28" s="674"/>
      <c r="Q28" s="674"/>
    </row>
    <row r="29" spans="1:17" s="621" customFormat="1" ht="18.75" customHeight="1">
      <c r="A29" s="670"/>
      <c r="B29" s="622" t="s">
        <v>1126</v>
      </c>
      <c r="C29" s="619" t="s">
        <v>1002</v>
      </c>
      <c r="E29" s="670"/>
      <c r="F29" s="670"/>
      <c r="G29" s="670"/>
      <c r="H29" s="670"/>
      <c r="I29" s="670"/>
      <c r="J29" s="670"/>
      <c r="K29" s="670"/>
      <c r="L29" s="670"/>
      <c r="M29" s="670"/>
      <c r="N29" s="670"/>
      <c r="O29" s="670"/>
      <c r="P29" s="670"/>
      <c r="Q29" s="620"/>
    </row>
    <row r="30" spans="1:17" s="621" customFormat="1" ht="18.75" customHeight="1">
      <c r="A30" s="670"/>
      <c r="B30" s="622" t="s">
        <v>1133</v>
      </c>
      <c r="C30" s="619" t="s">
        <v>1003</v>
      </c>
      <c r="E30" s="670"/>
      <c r="F30" s="670"/>
      <c r="G30" s="670"/>
      <c r="H30" s="670"/>
      <c r="I30" s="670"/>
      <c r="J30" s="670"/>
      <c r="K30" s="670"/>
      <c r="L30" s="670"/>
      <c r="M30" s="670"/>
      <c r="N30" s="670"/>
      <c r="O30" s="670"/>
      <c r="P30" s="670"/>
      <c r="Q30" s="620"/>
    </row>
    <row r="31" spans="1:17" s="621" customFormat="1" ht="15.75">
      <c r="A31" s="623"/>
      <c r="B31" s="622" t="s">
        <v>1134</v>
      </c>
      <c r="C31" s="619" t="s">
        <v>1004</v>
      </c>
      <c r="E31" s="623"/>
      <c r="F31" s="623"/>
      <c r="G31" s="623"/>
      <c r="H31" s="623"/>
      <c r="I31" s="624"/>
      <c r="J31" s="670"/>
      <c r="K31" s="670"/>
      <c r="L31" s="670"/>
      <c r="M31" s="670"/>
      <c r="N31" s="670"/>
      <c r="O31" s="624"/>
      <c r="P31" s="670"/>
      <c r="Q31" s="620"/>
    </row>
    <row r="32" spans="1:17" s="621" customFormat="1" ht="15.75">
      <c r="A32" s="673"/>
      <c r="B32" s="619" t="s">
        <v>1153</v>
      </c>
      <c r="C32" s="674"/>
      <c r="D32" s="674"/>
      <c r="E32" s="674"/>
      <c r="F32" s="674"/>
      <c r="G32" s="674"/>
      <c r="H32" s="674"/>
      <c r="I32" s="674"/>
      <c r="J32" s="674"/>
      <c r="K32" s="674"/>
      <c r="L32" s="674"/>
      <c r="M32" s="674"/>
      <c r="N32" s="674"/>
      <c r="O32" s="674"/>
      <c r="P32" s="674"/>
      <c r="Q32" s="674"/>
    </row>
    <row r="33" spans="1:18" s="621" customFormat="1" ht="18.75" customHeight="1">
      <c r="A33" s="673"/>
      <c r="B33" s="622" t="s">
        <v>1126</v>
      </c>
      <c r="C33" s="619" t="s">
        <v>1002</v>
      </c>
      <c r="E33" s="673"/>
      <c r="F33" s="673"/>
      <c r="G33" s="673"/>
      <c r="H33" s="673"/>
      <c r="I33" s="673"/>
      <c r="J33" s="673"/>
      <c r="K33" s="673"/>
      <c r="L33" s="673"/>
      <c r="M33" s="673"/>
      <c r="N33" s="673"/>
      <c r="O33" s="673"/>
      <c r="P33" s="673"/>
      <c r="Q33" s="620"/>
    </row>
    <row r="34" spans="1:18" s="621" customFormat="1" ht="18.75" customHeight="1">
      <c r="A34" s="673"/>
      <c r="B34" s="622" t="s">
        <v>1133</v>
      </c>
      <c r="C34" s="619" t="s">
        <v>1003</v>
      </c>
      <c r="E34" s="673"/>
      <c r="F34" s="673"/>
      <c r="G34" s="673"/>
      <c r="H34" s="673"/>
      <c r="I34" s="673"/>
      <c r="J34" s="673"/>
      <c r="K34" s="673"/>
      <c r="L34" s="673"/>
      <c r="M34" s="673"/>
      <c r="N34" s="673"/>
      <c r="O34" s="673"/>
      <c r="P34" s="673"/>
      <c r="Q34" s="620"/>
    </row>
    <row r="35" spans="1:18" s="621" customFormat="1" ht="15.75">
      <c r="A35" s="623"/>
      <c r="B35" s="622" t="s">
        <v>1154</v>
      </c>
      <c r="C35" s="619" t="s">
        <v>1004</v>
      </c>
      <c r="E35" s="623"/>
      <c r="F35" s="623"/>
      <c r="G35" s="623"/>
      <c r="H35" s="623"/>
      <c r="I35" s="624"/>
      <c r="J35" s="673"/>
      <c r="K35" s="673"/>
      <c r="L35" s="673"/>
      <c r="M35" s="673"/>
      <c r="N35" s="673"/>
      <c r="O35" s="624"/>
      <c r="P35" s="673"/>
      <c r="Q35" s="620"/>
    </row>
    <row r="36" spans="1:18" s="621" customFormat="1" ht="23.25" customHeight="1">
      <c r="A36" s="623"/>
      <c r="B36" s="619" t="s">
        <v>1010</v>
      </c>
      <c r="C36" s="623"/>
      <c r="D36" s="623"/>
      <c r="E36" s="623"/>
      <c r="F36" s="623"/>
      <c r="G36" s="623"/>
      <c r="H36" s="623"/>
      <c r="I36" s="623"/>
      <c r="J36" s="670"/>
      <c r="K36" s="670"/>
      <c r="L36" s="670"/>
      <c r="M36" s="670"/>
      <c r="N36" s="670"/>
      <c r="O36" s="624"/>
      <c r="P36" s="670"/>
      <c r="Q36" s="620"/>
    </row>
    <row r="37" spans="1:18" s="540" customFormat="1" ht="18.75">
      <c r="A37" s="608"/>
      <c r="B37" s="607"/>
      <c r="C37" s="607"/>
      <c r="D37" s="608"/>
      <c r="E37" s="608"/>
      <c r="F37" s="608"/>
      <c r="G37" s="608"/>
      <c r="H37" s="608"/>
      <c r="I37" s="608"/>
      <c r="J37" s="606"/>
      <c r="K37" s="606"/>
      <c r="L37" s="606"/>
      <c r="M37" s="606"/>
      <c r="N37" s="606"/>
      <c r="O37" s="538"/>
      <c r="P37" s="606"/>
      <c r="Q37" s="539"/>
    </row>
    <row r="38" spans="1:18" ht="30.75" customHeight="1">
      <c r="A38" s="776" t="s">
        <v>893</v>
      </c>
      <c r="B38" s="776" t="s">
        <v>894</v>
      </c>
      <c r="C38" s="778" t="s">
        <v>895</v>
      </c>
      <c r="D38" s="774" t="s">
        <v>896</v>
      </c>
      <c r="E38" s="774"/>
      <c r="F38" s="774"/>
      <c r="G38" s="774"/>
      <c r="H38" s="774" t="s">
        <v>897</v>
      </c>
      <c r="I38" s="774" t="s">
        <v>1108</v>
      </c>
      <c r="J38" s="774"/>
      <c r="K38" s="774"/>
      <c r="L38" s="774" t="s">
        <v>1135</v>
      </c>
      <c r="M38" s="774"/>
      <c r="N38" s="774"/>
      <c r="O38" s="779" t="s">
        <v>1008</v>
      </c>
      <c r="P38" s="774" t="s">
        <v>1009</v>
      </c>
      <c r="Q38" s="774" t="s">
        <v>1138</v>
      </c>
      <c r="R38" s="775"/>
    </row>
    <row r="39" spans="1:18" ht="29.25" customHeight="1">
      <c r="A39" s="777"/>
      <c r="B39" s="777"/>
      <c r="C39" s="778"/>
      <c r="D39" s="668" t="s">
        <v>898</v>
      </c>
      <c r="E39" s="609" t="s">
        <v>899</v>
      </c>
      <c r="F39" s="668" t="s">
        <v>900</v>
      </c>
      <c r="G39" s="668" t="s">
        <v>901</v>
      </c>
      <c r="H39" s="774"/>
      <c r="I39" s="668" t="s">
        <v>986</v>
      </c>
      <c r="J39" s="668" t="s">
        <v>987</v>
      </c>
      <c r="K39" s="668" t="s">
        <v>988</v>
      </c>
      <c r="L39" s="668" t="s">
        <v>989</v>
      </c>
      <c r="M39" s="668" t="s">
        <v>990</v>
      </c>
      <c r="N39" s="668" t="s">
        <v>991</v>
      </c>
      <c r="O39" s="779"/>
      <c r="P39" s="774"/>
      <c r="Q39" s="774"/>
      <c r="R39" s="775"/>
    </row>
    <row r="40" spans="1:18">
      <c r="A40" s="627" t="s">
        <v>79</v>
      </c>
      <c r="B40" s="628" t="s">
        <v>1017</v>
      </c>
      <c r="C40" s="628"/>
      <c r="D40" s="610"/>
      <c r="E40" s="611"/>
      <c r="F40" s="610"/>
      <c r="G40" s="610"/>
      <c r="H40" s="610"/>
      <c r="I40" s="617"/>
      <c r="J40" s="617"/>
      <c r="K40" s="617"/>
      <c r="L40" s="617"/>
      <c r="M40" s="617"/>
      <c r="N40" s="617"/>
      <c r="O40" s="612"/>
      <c r="P40" s="612"/>
      <c r="Q40" s="612"/>
    </row>
    <row r="41" spans="1:18">
      <c r="A41" s="629" t="s">
        <v>1018</v>
      </c>
      <c r="B41" s="628"/>
      <c r="C41" s="628"/>
      <c r="D41" s="610"/>
      <c r="E41" s="611"/>
      <c r="F41" s="613"/>
      <c r="G41" s="613"/>
      <c r="H41" s="610"/>
      <c r="I41" s="617"/>
      <c r="J41" s="617"/>
      <c r="K41" s="617"/>
      <c r="L41" s="617"/>
      <c r="M41" s="617"/>
      <c r="N41" s="617"/>
      <c r="O41" s="612"/>
      <c r="P41" s="612"/>
      <c r="Q41" s="612"/>
    </row>
    <row r="42" spans="1:18">
      <c r="A42" s="630" t="s">
        <v>8</v>
      </c>
      <c r="B42" s="631" t="s">
        <v>1019</v>
      </c>
      <c r="C42" s="631"/>
      <c r="D42" s="610"/>
      <c r="E42" s="611"/>
      <c r="F42" s="613"/>
      <c r="G42" s="613"/>
      <c r="H42" s="614"/>
      <c r="I42" s="617"/>
      <c r="J42" s="617"/>
      <c r="K42" s="617"/>
      <c r="L42" s="617"/>
      <c r="M42" s="617"/>
      <c r="N42" s="617"/>
      <c r="O42" s="615"/>
      <c r="P42" s="616"/>
      <c r="Q42" s="616"/>
    </row>
    <row r="43" spans="1:18">
      <c r="A43" s="630">
        <v>1</v>
      </c>
      <c r="B43" s="631" t="s">
        <v>1020</v>
      </c>
      <c r="C43" s="638" t="s">
        <v>70</v>
      </c>
      <c r="D43" s="635">
        <v>35</v>
      </c>
      <c r="E43" s="636">
        <v>34.409999999999997</v>
      </c>
      <c r="F43" s="636">
        <v>30.59</v>
      </c>
      <c r="G43" s="636">
        <v>0</v>
      </c>
      <c r="H43" s="614">
        <v>100</v>
      </c>
      <c r="I43" s="617">
        <v>103.85</v>
      </c>
      <c r="J43" s="617">
        <v>110.99</v>
      </c>
      <c r="K43" s="617">
        <v>111.56</v>
      </c>
      <c r="L43" s="617">
        <v>103.85</v>
      </c>
      <c r="M43" s="617">
        <v>110.17</v>
      </c>
      <c r="N43" s="617">
        <v>113.06</v>
      </c>
      <c r="O43" s="615">
        <v>0.998</v>
      </c>
      <c r="P43" s="616">
        <v>1886218</v>
      </c>
      <c r="Q43" s="616">
        <v>1882446</v>
      </c>
    </row>
    <row r="44" spans="1:18" ht="30">
      <c r="A44" s="630">
        <v>2</v>
      </c>
      <c r="B44" s="631" t="s">
        <v>1021</v>
      </c>
      <c r="C44" s="638" t="s">
        <v>70</v>
      </c>
      <c r="D44" s="635">
        <v>35</v>
      </c>
      <c r="E44" s="636">
        <v>0</v>
      </c>
      <c r="F44" s="636">
        <v>65</v>
      </c>
      <c r="G44" s="636">
        <v>0</v>
      </c>
      <c r="H44" s="614">
        <v>100</v>
      </c>
      <c r="I44" s="617">
        <v>103.85</v>
      </c>
      <c r="J44" s="617">
        <v>110.99</v>
      </c>
      <c r="K44" s="617">
        <v>111.56</v>
      </c>
      <c r="L44" s="617">
        <v>103.85</v>
      </c>
      <c r="M44" s="617">
        <v>110.17</v>
      </c>
      <c r="N44" s="617">
        <v>113.06</v>
      </c>
      <c r="O44" s="615">
        <v>0.995</v>
      </c>
      <c r="P44" s="616">
        <v>1373602</v>
      </c>
      <c r="Q44" s="616">
        <v>1366734</v>
      </c>
    </row>
    <row r="45" spans="1:18" ht="30">
      <c r="A45" s="630">
        <v>3</v>
      </c>
      <c r="B45" s="631" t="s">
        <v>1022</v>
      </c>
      <c r="C45" s="638" t="s">
        <v>70</v>
      </c>
      <c r="D45" s="635">
        <v>35</v>
      </c>
      <c r="E45" s="636">
        <v>0</v>
      </c>
      <c r="F45" s="636">
        <v>65</v>
      </c>
      <c r="G45" s="636">
        <v>0</v>
      </c>
      <c r="H45" s="614">
        <v>100</v>
      </c>
      <c r="I45" s="617">
        <v>103.85</v>
      </c>
      <c r="J45" s="617">
        <v>110.99</v>
      </c>
      <c r="K45" s="617">
        <v>111.56</v>
      </c>
      <c r="L45" s="617">
        <v>103.85</v>
      </c>
      <c r="M45" s="617">
        <v>110.17</v>
      </c>
      <c r="N45" s="617">
        <v>113.06</v>
      </c>
      <c r="O45" s="615">
        <v>0.995</v>
      </c>
      <c r="P45" s="616">
        <v>1837919</v>
      </c>
      <c r="Q45" s="616">
        <v>1828729</v>
      </c>
    </row>
    <row r="46" spans="1:18">
      <c r="A46" s="630">
        <v>4</v>
      </c>
      <c r="B46" s="631" t="s">
        <v>1023</v>
      </c>
      <c r="C46" s="638" t="s">
        <v>30</v>
      </c>
      <c r="D46" s="635">
        <v>35</v>
      </c>
      <c r="E46" s="636">
        <v>31.55</v>
      </c>
      <c r="F46" s="636">
        <v>0</v>
      </c>
      <c r="G46" s="636">
        <v>33.450000000000003</v>
      </c>
      <c r="H46" s="614">
        <v>100</v>
      </c>
      <c r="I46" s="617">
        <v>103.85</v>
      </c>
      <c r="J46" s="617">
        <v>110.99</v>
      </c>
      <c r="K46" s="617">
        <v>111.56</v>
      </c>
      <c r="L46" s="617">
        <v>103.85</v>
      </c>
      <c r="M46" s="617">
        <v>110.17</v>
      </c>
      <c r="N46" s="617">
        <v>113.06</v>
      </c>
      <c r="O46" s="615">
        <v>1.004</v>
      </c>
      <c r="P46" s="616">
        <v>658291</v>
      </c>
      <c r="Q46" s="616">
        <v>660924</v>
      </c>
    </row>
    <row r="47" spans="1:18" ht="30">
      <c r="A47" s="630">
        <v>5</v>
      </c>
      <c r="B47" s="631" t="s">
        <v>1024</v>
      </c>
      <c r="C47" s="638" t="s">
        <v>67</v>
      </c>
      <c r="D47" s="635">
        <v>35</v>
      </c>
      <c r="E47" s="636">
        <v>2.27</v>
      </c>
      <c r="F47" s="636">
        <v>37.380000000000003</v>
      </c>
      <c r="G47" s="636">
        <v>25.35</v>
      </c>
      <c r="H47" s="614">
        <v>100</v>
      </c>
      <c r="I47" s="617">
        <v>103.85</v>
      </c>
      <c r="J47" s="617">
        <v>110.99</v>
      </c>
      <c r="K47" s="617">
        <v>111.56</v>
      </c>
      <c r="L47" s="617">
        <v>103.85</v>
      </c>
      <c r="M47" s="617">
        <v>110.17</v>
      </c>
      <c r="N47" s="617">
        <v>113.06</v>
      </c>
      <c r="O47" s="615">
        <v>1.0009999999999999</v>
      </c>
      <c r="P47" s="616">
        <v>8161936</v>
      </c>
      <c r="Q47" s="616">
        <v>8170098</v>
      </c>
    </row>
    <row r="48" spans="1:18">
      <c r="A48" s="630">
        <v>6</v>
      </c>
      <c r="B48" s="631" t="s">
        <v>1025</v>
      </c>
      <c r="C48" s="638" t="s">
        <v>1109</v>
      </c>
      <c r="D48" s="635">
        <v>35</v>
      </c>
      <c r="E48" s="636">
        <v>20.5</v>
      </c>
      <c r="F48" s="636">
        <v>0.56999999999999995</v>
      </c>
      <c r="G48" s="636">
        <v>43.93</v>
      </c>
      <c r="H48" s="614">
        <v>100</v>
      </c>
      <c r="I48" s="617">
        <v>103.85</v>
      </c>
      <c r="J48" s="617">
        <v>110.99</v>
      </c>
      <c r="K48" s="617">
        <v>111.56</v>
      </c>
      <c r="L48" s="617">
        <v>103.85</v>
      </c>
      <c r="M48" s="617">
        <v>110.17</v>
      </c>
      <c r="N48" s="617">
        <v>113.06</v>
      </c>
      <c r="O48" s="615">
        <v>1.006</v>
      </c>
      <c r="P48" s="616">
        <v>4655511</v>
      </c>
      <c r="Q48" s="616">
        <v>4683444</v>
      </c>
    </row>
    <row r="49" spans="1:17">
      <c r="A49" s="630">
        <v>7</v>
      </c>
      <c r="B49" s="631" t="s">
        <v>1026</v>
      </c>
      <c r="C49" s="638" t="s">
        <v>30</v>
      </c>
      <c r="D49" s="635">
        <v>35</v>
      </c>
      <c r="E49" s="636">
        <v>7.51</v>
      </c>
      <c r="F49" s="636">
        <v>9.1</v>
      </c>
      <c r="G49" s="636">
        <v>48.39</v>
      </c>
      <c r="H49" s="614">
        <v>100</v>
      </c>
      <c r="I49" s="617">
        <v>103.85</v>
      </c>
      <c r="J49" s="617">
        <v>110.99</v>
      </c>
      <c r="K49" s="617">
        <v>111.56</v>
      </c>
      <c r="L49" s="617">
        <v>103.85</v>
      </c>
      <c r="M49" s="617">
        <v>110.17</v>
      </c>
      <c r="N49" s="617">
        <v>113.06</v>
      </c>
      <c r="O49" s="615">
        <v>1.006</v>
      </c>
      <c r="P49" s="616">
        <v>735497</v>
      </c>
      <c r="Q49" s="616">
        <v>739910</v>
      </c>
    </row>
    <row r="50" spans="1:17">
      <c r="A50" s="630" t="s">
        <v>313</v>
      </c>
      <c r="B50" s="631" t="s">
        <v>1027</v>
      </c>
      <c r="C50" s="638"/>
      <c r="D50" s="635"/>
      <c r="E50" s="636"/>
      <c r="F50" s="636"/>
      <c r="G50" s="636"/>
      <c r="H50" s="614"/>
      <c r="I50" s="617"/>
      <c r="J50" s="617"/>
      <c r="K50" s="617"/>
      <c r="L50" s="617"/>
      <c r="M50" s="617"/>
      <c r="N50" s="617"/>
      <c r="O50" s="615"/>
      <c r="P50" s="616">
        <v>0</v>
      </c>
      <c r="Q50" s="616">
        <v>0</v>
      </c>
    </row>
    <row r="51" spans="1:17" ht="30">
      <c r="A51" s="630">
        <v>8</v>
      </c>
      <c r="B51" s="631" t="s">
        <v>1028</v>
      </c>
      <c r="C51" s="638" t="s">
        <v>30</v>
      </c>
      <c r="D51" s="635">
        <v>35</v>
      </c>
      <c r="E51" s="636">
        <v>12.57</v>
      </c>
      <c r="F51" s="636">
        <v>2.71</v>
      </c>
      <c r="G51" s="636">
        <v>49.72</v>
      </c>
      <c r="H51" s="614">
        <v>100</v>
      </c>
      <c r="I51" s="617">
        <v>103.85</v>
      </c>
      <c r="J51" s="617">
        <v>110.99</v>
      </c>
      <c r="K51" s="617">
        <v>111.56</v>
      </c>
      <c r="L51" s="617">
        <v>103.85</v>
      </c>
      <c r="M51" s="617">
        <v>110.17</v>
      </c>
      <c r="N51" s="617">
        <v>113.06</v>
      </c>
      <c r="O51" s="615">
        <v>1.006</v>
      </c>
      <c r="P51" s="616">
        <v>1988578</v>
      </c>
      <c r="Q51" s="616">
        <v>2000509</v>
      </c>
    </row>
    <row r="52" spans="1:17" ht="30">
      <c r="A52" s="630">
        <v>9</v>
      </c>
      <c r="B52" s="631" t="s">
        <v>1029</v>
      </c>
      <c r="C52" s="638" t="s">
        <v>67</v>
      </c>
      <c r="D52" s="635">
        <v>35</v>
      </c>
      <c r="E52" s="636">
        <v>54.32</v>
      </c>
      <c r="F52" s="636">
        <v>1.69</v>
      </c>
      <c r="G52" s="636">
        <v>8.99</v>
      </c>
      <c r="H52" s="614">
        <v>99.999999999999986</v>
      </c>
      <c r="I52" s="617">
        <v>103.85</v>
      </c>
      <c r="J52" s="617">
        <v>110.99</v>
      </c>
      <c r="K52" s="617">
        <v>111.56</v>
      </c>
      <c r="L52" s="617">
        <v>103.85</v>
      </c>
      <c r="M52" s="617">
        <v>110.17</v>
      </c>
      <c r="N52" s="617">
        <v>113.06</v>
      </c>
      <c r="O52" s="615">
        <v>1.0009999999999999</v>
      </c>
      <c r="P52" s="616">
        <v>7101623</v>
      </c>
      <c r="Q52" s="616">
        <v>7108725</v>
      </c>
    </row>
    <row r="53" spans="1:17">
      <c r="A53" s="630">
        <v>10</v>
      </c>
      <c r="B53" s="631" t="s">
        <v>1030</v>
      </c>
      <c r="C53" s="638" t="s">
        <v>195</v>
      </c>
      <c r="D53" s="635">
        <v>35</v>
      </c>
      <c r="E53" s="636">
        <v>10.220000000000001</v>
      </c>
      <c r="F53" s="636">
        <v>0.31</v>
      </c>
      <c r="G53" s="636">
        <v>54.47</v>
      </c>
      <c r="H53" s="614">
        <v>100</v>
      </c>
      <c r="I53" s="617">
        <v>103.85</v>
      </c>
      <c r="J53" s="617">
        <v>110.99</v>
      </c>
      <c r="K53" s="617">
        <v>111.56</v>
      </c>
      <c r="L53" s="617">
        <v>103.85</v>
      </c>
      <c r="M53" s="617">
        <v>110.17</v>
      </c>
      <c r="N53" s="617">
        <v>113.06</v>
      </c>
      <c r="O53" s="615">
        <v>1.0069999999999999</v>
      </c>
      <c r="P53" s="616">
        <v>20901654</v>
      </c>
      <c r="Q53" s="616">
        <v>21047966</v>
      </c>
    </row>
    <row r="54" spans="1:17">
      <c r="A54" s="630">
        <v>11</v>
      </c>
      <c r="B54" s="631" t="s">
        <v>1031</v>
      </c>
      <c r="C54" s="638" t="s">
        <v>195</v>
      </c>
      <c r="D54" s="635">
        <v>35</v>
      </c>
      <c r="E54" s="636">
        <v>10.25</v>
      </c>
      <c r="F54" s="636">
        <v>0.31</v>
      </c>
      <c r="G54" s="636">
        <v>54.44</v>
      </c>
      <c r="H54" s="614">
        <v>100</v>
      </c>
      <c r="I54" s="617">
        <v>103.85</v>
      </c>
      <c r="J54" s="617">
        <v>110.99</v>
      </c>
      <c r="K54" s="617">
        <v>111.56</v>
      </c>
      <c r="L54" s="617">
        <v>103.85</v>
      </c>
      <c r="M54" s="617">
        <v>110.17</v>
      </c>
      <c r="N54" s="617">
        <v>113.06</v>
      </c>
      <c r="O54" s="615">
        <v>1.0069999999999999</v>
      </c>
      <c r="P54" s="616">
        <v>20846555</v>
      </c>
      <c r="Q54" s="616">
        <v>20992481</v>
      </c>
    </row>
    <row r="55" spans="1:17">
      <c r="A55" s="630">
        <v>12</v>
      </c>
      <c r="B55" s="631" t="s">
        <v>1032</v>
      </c>
      <c r="C55" s="638" t="s">
        <v>195</v>
      </c>
      <c r="D55" s="635">
        <v>35</v>
      </c>
      <c r="E55" s="636">
        <v>5.95</v>
      </c>
      <c r="F55" s="636">
        <v>1.58</v>
      </c>
      <c r="G55" s="636">
        <v>57.47</v>
      </c>
      <c r="H55" s="614">
        <v>100</v>
      </c>
      <c r="I55" s="617">
        <v>103.85</v>
      </c>
      <c r="J55" s="617">
        <v>110.99</v>
      </c>
      <c r="K55" s="617">
        <v>111.56</v>
      </c>
      <c r="L55" s="617">
        <v>103.85</v>
      </c>
      <c r="M55" s="617">
        <v>110.17</v>
      </c>
      <c r="N55" s="617">
        <v>113.06</v>
      </c>
      <c r="O55" s="615">
        <v>1.008</v>
      </c>
      <c r="P55" s="616">
        <v>18857101</v>
      </c>
      <c r="Q55" s="616">
        <v>19007958</v>
      </c>
    </row>
    <row r="56" spans="1:17">
      <c r="A56" s="630">
        <v>13</v>
      </c>
      <c r="B56" s="631" t="s">
        <v>1033</v>
      </c>
      <c r="C56" s="638" t="s">
        <v>195</v>
      </c>
      <c r="D56" s="635">
        <v>35</v>
      </c>
      <c r="E56" s="636">
        <v>19.04</v>
      </c>
      <c r="F56" s="636">
        <v>4.16</v>
      </c>
      <c r="G56" s="636">
        <v>41.8</v>
      </c>
      <c r="H56" s="614"/>
      <c r="I56" s="617">
        <v>103.85</v>
      </c>
      <c r="J56" s="617">
        <v>110.99</v>
      </c>
      <c r="K56" s="617">
        <v>111.56</v>
      </c>
      <c r="L56" s="617">
        <v>103.85</v>
      </c>
      <c r="M56" s="617">
        <v>110.17</v>
      </c>
      <c r="N56" s="617">
        <v>113.06</v>
      </c>
      <c r="O56" s="615">
        <v>1.0049999999999999</v>
      </c>
      <c r="P56" s="616">
        <v>33081246</v>
      </c>
      <c r="Q56" s="616">
        <v>33246652</v>
      </c>
    </row>
    <row r="57" spans="1:17">
      <c r="A57" s="630">
        <v>14</v>
      </c>
      <c r="B57" s="631" t="s">
        <v>1034</v>
      </c>
      <c r="C57" s="638" t="s">
        <v>195</v>
      </c>
      <c r="D57" s="635">
        <v>35</v>
      </c>
      <c r="E57" s="636">
        <v>10.24</v>
      </c>
      <c r="F57" s="636">
        <v>54.76</v>
      </c>
      <c r="G57" s="636">
        <v>0</v>
      </c>
      <c r="H57" s="614">
        <v>100</v>
      </c>
      <c r="I57" s="617">
        <v>103.85</v>
      </c>
      <c r="J57" s="617">
        <v>110.99</v>
      </c>
      <c r="K57" s="617">
        <v>111.56</v>
      </c>
      <c r="L57" s="617">
        <v>103.85</v>
      </c>
      <c r="M57" s="617">
        <v>110.17</v>
      </c>
      <c r="N57" s="617">
        <v>113.06</v>
      </c>
      <c r="O57" s="615">
        <v>0.996</v>
      </c>
      <c r="P57" s="616">
        <v>22681</v>
      </c>
      <c r="Q57" s="616">
        <v>22590</v>
      </c>
    </row>
    <row r="58" spans="1:17" ht="30">
      <c r="A58" s="630">
        <v>15</v>
      </c>
      <c r="B58" s="631" t="s">
        <v>1035</v>
      </c>
      <c r="C58" s="638" t="s">
        <v>106</v>
      </c>
      <c r="D58" s="635">
        <v>35</v>
      </c>
      <c r="E58" s="636">
        <v>4</v>
      </c>
      <c r="F58" s="636">
        <v>61</v>
      </c>
      <c r="G58" s="636">
        <v>0</v>
      </c>
      <c r="H58" s="614">
        <v>100</v>
      </c>
      <c r="I58" s="617">
        <v>103.85</v>
      </c>
      <c r="J58" s="617">
        <v>110.99</v>
      </c>
      <c r="K58" s="617">
        <v>111.56</v>
      </c>
      <c r="L58" s="617">
        <v>103.85</v>
      </c>
      <c r="M58" s="617">
        <v>110.17</v>
      </c>
      <c r="N58" s="617">
        <v>113.06</v>
      </c>
      <c r="O58" s="615">
        <v>0.995</v>
      </c>
      <c r="P58" s="616">
        <v>22410802</v>
      </c>
      <c r="Q58" s="616">
        <v>22298748</v>
      </c>
    </row>
    <row r="59" spans="1:17" ht="30">
      <c r="A59" s="630">
        <v>16</v>
      </c>
      <c r="B59" s="631" t="s">
        <v>1036</v>
      </c>
      <c r="C59" s="638" t="s">
        <v>106</v>
      </c>
      <c r="D59" s="635">
        <v>35</v>
      </c>
      <c r="E59" s="636">
        <v>4</v>
      </c>
      <c r="F59" s="636">
        <v>61</v>
      </c>
      <c r="G59" s="636">
        <v>0</v>
      </c>
      <c r="H59" s="614"/>
      <c r="I59" s="617">
        <v>103.85</v>
      </c>
      <c r="J59" s="617">
        <v>110.99</v>
      </c>
      <c r="K59" s="617">
        <v>111.56</v>
      </c>
      <c r="L59" s="617">
        <v>103.85</v>
      </c>
      <c r="M59" s="617">
        <v>110.17</v>
      </c>
      <c r="N59" s="617">
        <v>113.06</v>
      </c>
      <c r="O59" s="615">
        <v>0.995</v>
      </c>
      <c r="P59" s="616">
        <v>16808103</v>
      </c>
      <c r="Q59" s="616">
        <v>16724062</v>
      </c>
    </row>
    <row r="60" spans="1:17" ht="30">
      <c r="A60" s="630">
        <v>17</v>
      </c>
      <c r="B60" s="631" t="s">
        <v>1037</v>
      </c>
      <c r="C60" s="638" t="s">
        <v>106</v>
      </c>
      <c r="D60" s="635">
        <v>35</v>
      </c>
      <c r="E60" s="636">
        <v>4</v>
      </c>
      <c r="F60" s="636">
        <v>61</v>
      </c>
      <c r="G60" s="636">
        <v>0</v>
      </c>
      <c r="H60" s="614">
        <v>100</v>
      </c>
      <c r="I60" s="617">
        <v>103.85</v>
      </c>
      <c r="J60" s="617">
        <v>110.99</v>
      </c>
      <c r="K60" s="617">
        <v>111.56</v>
      </c>
      <c r="L60" s="617">
        <v>103.85</v>
      </c>
      <c r="M60" s="617">
        <v>110.17</v>
      </c>
      <c r="N60" s="617">
        <v>113.06</v>
      </c>
      <c r="O60" s="615">
        <v>0.995</v>
      </c>
      <c r="P60" s="616">
        <v>27341179</v>
      </c>
      <c r="Q60" s="616">
        <v>27204473</v>
      </c>
    </row>
    <row r="61" spans="1:17" ht="30">
      <c r="A61" s="630">
        <v>18</v>
      </c>
      <c r="B61" s="631" t="s">
        <v>1038</v>
      </c>
      <c r="C61" s="638" t="s">
        <v>106</v>
      </c>
      <c r="D61" s="635">
        <v>35</v>
      </c>
      <c r="E61" s="636">
        <v>4</v>
      </c>
      <c r="F61" s="636">
        <v>61</v>
      </c>
      <c r="G61" s="636">
        <v>0</v>
      </c>
      <c r="H61" s="614">
        <v>100</v>
      </c>
      <c r="I61" s="617">
        <v>103.85</v>
      </c>
      <c r="J61" s="617">
        <v>110.99</v>
      </c>
      <c r="K61" s="617">
        <v>111.56</v>
      </c>
      <c r="L61" s="617">
        <v>103.85</v>
      </c>
      <c r="M61" s="617">
        <v>110.17</v>
      </c>
      <c r="N61" s="617">
        <v>113.06</v>
      </c>
      <c r="O61" s="615">
        <v>0.995</v>
      </c>
      <c r="P61" s="616">
        <v>20505884</v>
      </c>
      <c r="Q61" s="616">
        <v>20403355</v>
      </c>
    </row>
    <row r="62" spans="1:17">
      <c r="A62" s="630">
        <v>19</v>
      </c>
      <c r="B62" s="631" t="s">
        <v>1039</v>
      </c>
      <c r="C62" s="638" t="s">
        <v>30</v>
      </c>
      <c r="D62" s="635">
        <v>35</v>
      </c>
      <c r="E62" s="636">
        <v>17.190000000000001</v>
      </c>
      <c r="F62" s="636">
        <v>42</v>
      </c>
      <c r="G62" s="636">
        <v>5.81</v>
      </c>
      <c r="H62" s="614">
        <v>100</v>
      </c>
      <c r="I62" s="617">
        <v>103.85</v>
      </c>
      <c r="J62" s="617">
        <v>110.99</v>
      </c>
      <c r="K62" s="617">
        <v>111.56</v>
      </c>
      <c r="L62" s="617">
        <v>103.85</v>
      </c>
      <c r="M62" s="617">
        <v>110.17</v>
      </c>
      <c r="N62" s="617">
        <v>113.06</v>
      </c>
      <c r="O62" s="615">
        <v>0.998</v>
      </c>
      <c r="P62" s="616">
        <v>520999</v>
      </c>
      <c r="Q62" s="616">
        <v>519957</v>
      </c>
    </row>
    <row r="63" spans="1:17">
      <c r="A63" s="630">
        <v>20</v>
      </c>
      <c r="B63" s="631" t="s">
        <v>1040</v>
      </c>
      <c r="C63" s="638" t="s">
        <v>30</v>
      </c>
      <c r="D63" s="635">
        <v>35</v>
      </c>
      <c r="E63" s="636">
        <v>11.76</v>
      </c>
      <c r="F63" s="636">
        <v>2.0699999999999998</v>
      </c>
      <c r="G63" s="636">
        <v>51.17</v>
      </c>
      <c r="H63" s="614">
        <v>100</v>
      </c>
      <c r="I63" s="617">
        <v>103.85</v>
      </c>
      <c r="J63" s="617">
        <v>110.99</v>
      </c>
      <c r="K63" s="617">
        <v>111.56</v>
      </c>
      <c r="L63" s="617">
        <v>103.85</v>
      </c>
      <c r="M63" s="617">
        <v>110.17</v>
      </c>
      <c r="N63" s="617">
        <v>113.06</v>
      </c>
      <c r="O63" s="615">
        <v>1.0069999999999999</v>
      </c>
      <c r="P63" s="616">
        <v>1650615</v>
      </c>
      <c r="Q63" s="616">
        <v>1662169</v>
      </c>
    </row>
    <row r="64" spans="1:17" ht="45">
      <c r="A64" s="630">
        <v>21</v>
      </c>
      <c r="B64" s="631" t="s">
        <v>1041</v>
      </c>
      <c r="C64" s="638" t="s">
        <v>30</v>
      </c>
      <c r="D64" s="635">
        <v>35</v>
      </c>
      <c r="E64" s="636">
        <v>18.78</v>
      </c>
      <c r="F64" s="636">
        <v>1.73</v>
      </c>
      <c r="G64" s="636">
        <v>44.49</v>
      </c>
      <c r="H64" s="614">
        <v>100</v>
      </c>
      <c r="I64" s="617">
        <v>103.85</v>
      </c>
      <c r="J64" s="617">
        <v>110.99</v>
      </c>
      <c r="K64" s="617">
        <v>111.56</v>
      </c>
      <c r="L64" s="617">
        <v>103.85</v>
      </c>
      <c r="M64" s="617">
        <v>110.17</v>
      </c>
      <c r="N64" s="617">
        <v>113.06</v>
      </c>
      <c r="O64" s="615">
        <v>1.006</v>
      </c>
      <c r="P64" s="616">
        <v>2830127</v>
      </c>
      <c r="Q64" s="616">
        <v>2847108</v>
      </c>
    </row>
    <row r="65" spans="1:17" ht="30">
      <c r="A65" s="630">
        <v>22</v>
      </c>
      <c r="B65" s="631" t="s">
        <v>1042</v>
      </c>
      <c r="C65" s="638" t="s">
        <v>67</v>
      </c>
      <c r="D65" s="635">
        <v>35</v>
      </c>
      <c r="E65" s="636">
        <v>36.69</v>
      </c>
      <c r="F65" s="636">
        <v>2.69</v>
      </c>
      <c r="G65" s="636">
        <v>25.62</v>
      </c>
      <c r="H65" s="614"/>
      <c r="I65" s="617">
        <v>103.85</v>
      </c>
      <c r="J65" s="617">
        <v>110.99</v>
      </c>
      <c r="K65" s="617">
        <v>111.56</v>
      </c>
      <c r="L65" s="617">
        <v>103.85</v>
      </c>
      <c r="M65" s="617">
        <v>110.17</v>
      </c>
      <c r="N65" s="617">
        <v>113.06</v>
      </c>
      <c r="O65" s="615">
        <v>1.0029999999999999</v>
      </c>
      <c r="P65" s="616">
        <v>16832404</v>
      </c>
      <c r="Q65" s="616">
        <v>16882901</v>
      </c>
    </row>
    <row r="66" spans="1:17">
      <c r="A66" s="630">
        <v>23</v>
      </c>
      <c r="B66" s="631" t="s">
        <v>1043</v>
      </c>
      <c r="C66" s="638" t="s">
        <v>195</v>
      </c>
      <c r="D66" s="635">
        <v>35</v>
      </c>
      <c r="E66" s="636">
        <v>10.35</v>
      </c>
      <c r="F66" s="636">
        <v>0.33</v>
      </c>
      <c r="G66" s="636">
        <v>54.32</v>
      </c>
      <c r="H66" s="614"/>
      <c r="I66" s="617">
        <v>103.85</v>
      </c>
      <c r="J66" s="617">
        <v>110.99</v>
      </c>
      <c r="K66" s="617">
        <v>111.56</v>
      </c>
      <c r="L66" s="617">
        <v>103.85</v>
      </c>
      <c r="M66" s="617">
        <v>110.17</v>
      </c>
      <c r="N66" s="617">
        <v>113.06</v>
      </c>
      <c r="O66" s="615">
        <v>1.0069999999999999</v>
      </c>
      <c r="P66" s="616">
        <v>18530849</v>
      </c>
      <c r="Q66" s="616">
        <v>18660565</v>
      </c>
    </row>
    <row r="67" spans="1:17">
      <c r="A67" s="630">
        <v>24</v>
      </c>
      <c r="B67" s="631" t="s">
        <v>1044</v>
      </c>
      <c r="C67" s="638" t="s">
        <v>195</v>
      </c>
      <c r="D67" s="635">
        <v>35</v>
      </c>
      <c r="E67" s="636">
        <v>8.0500000000000007</v>
      </c>
      <c r="F67" s="636">
        <v>1.6</v>
      </c>
      <c r="G67" s="636">
        <v>55.35</v>
      </c>
      <c r="H67" s="614">
        <v>100</v>
      </c>
      <c r="I67" s="617">
        <v>103.85</v>
      </c>
      <c r="J67" s="617">
        <v>110.99</v>
      </c>
      <c r="K67" s="617">
        <v>111.56</v>
      </c>
      <c r="L67" s="617">
        <v>103.85</v>
      </c>
      <c r="M67" s="617">
        <v>110.17</v>
      </c>
      <c r="N67" s="617">
        <v>113.06</v>
      </c>
      <c r="O67" s="615">
        <v>1.0069999999999999</v>
      </c>
      <c r="P67" s="616">
        <v>19534711</v>
      </c>
      <c r="Q67" s="616">
        <v>19671454</v>
      </c>
    </row>
    <row r="68" spans="1:17">
      <c r="A68" s="630">
        <v>25</v>
      </c>
      <c r="B68" s="631" t="s">
        <v>1045</v>
      </c>
      <c r="C68" s="638" t="s">
        <v>195</v>
      </c>
      <c r="D68" s="635">
        <v>35</v>
      </c>
      <c r="E68" s="636">
        <v>8.4</v>
      </c>
      <c r="F68" s="636">
        <v>1.67</v>
      </c>
      <c r="G68" s="636">
        <v>54.93</v>
      </c>
      <c r="H68" s="614">
        <v>100</v>
      </c>
      <c r="I68" s="617">
        <v>103.85</v>
      </c>
      <c r="J68" s="617">
        <v>110.99</v>
      </c>
      <c r="K68" s="617">
        <v>111.56</v>
      </c>
      <c r="L68" s="617">
        <v>103.85</v>
      </c>
      <c r="M68" s="617">
        <v>110.17</v>
      </c>
      <c r="N68" s="617">
        <v>113.06</v>
      </c>
      <c r="O68" s="615">
        <v>1.0069999999999999</v>
      </c>
      <c r="P68" s="616">
        <v>19908754</v>
      </c>
      <c r="Q68" s="616">
        <v>20048115</v>
      </c>
    </row>
    <row r="69" spans="1:17">
      <c r="A69" s="630">
        <v>26</v>
      </c>
      <c r="B69" s="631" t="s">
        <v>1046</v>
      </c>
      <c r="C69" s="638" t="s">
        <v>195</v>
      </c>
      <c r="D69" s="635">
        <v>35</v>
      </c>
      <c r="E69" s="636">
        <v>8.09</v>
      </c>
      <c r="F69" s="636">
        <v>1.6</v>
      </c>
      <c r="G69" s="636">
        <v>55.31</v>
      </c>
      <c r="H69" s="614">
        <v>100</v>
      </c>
      <c r="I69" s="617">
        <v>103.85</v>
      </c>
      <c r="J69" s="617">
        <v>110.99</v>
      </c>
      <c r="K69" s="617">
        <v>111.56</v>
      </c>
      <c r="L69" s="617">
        <v>103.85</v>
      </c>
      <c r="M69" s="617">
        <v>110.17</v>
      </c>
      <c r="N69" s="617">
        <v>113.06</v>
      </c>
      <c r="O69" s="615">
        <v>1.0069999999999999</v>
      </c>
      <c r="P69" s="616">
        <v>19439024</v>
      </c>
      <c r="Q69" s="616">
        <v>19575097</v>
      </c>
    </row>
    <row r="70" spans="1:17">
      <c r="A70" s="630">
        <v>27</v>
      </c>
      <c r="B70" s="631" t="s">
        <v>1047</v>
      </c>
      <c r="C70" s="638" t="s">
        <v>195</v>
      </c>
      <c r="D70" s="635">
        <v>35</v>
      </c>
      <c r="E70" s="636">
        <v>8</v>
      </c>
      <c r="F70" s="636">
        <v>1.59</v>
      </c>
      <c r="G70" s="636">
        <v>55.41</v>
      </c>
      <c r="H70" s="614">
        <v>100</v>
      </c>
      <c r="I70" s="617">
        <v>103.85</v>
      </c>
      <c r="J70" s="617">
        <v>110.99</v>
      </c>
      <c r="K70" s="617">
        <v>111.56</v>
      </c>
      <c r="L70" s="617">
        <v>103.85</v>
      </c>
      <c r="M70" s="617">
        <v>110.17</v>
      </c>
      <c r="N70" s="617">
        <v>113.06</v>
      </c>
      <c r="O70" s="615">
        <v>1.0069999999999999</v>
      </c>
      <c r="P70" s="616">
        <v>19675132</v>
      </c>
      <c r="Q70" s="616">
        <v>19812858</v>
      </c>
    </row>
    <row r="71" spans="1:17" ht="30">
      <c r="A71" s="630">
        <v>28</v>
      </c>
      <c r="B71" s="631" t="s">
        <v>1048</v>
      </c>
      <c r="C71" s="638" t="s">
        <v>30</v>
      </c>
      <c r="D71" s="635">
        <v>35</v>
      </c>
      <c r="E71" s="636">
        <v>11.92</v>
      </c>
      <c r="F71" s="636">
        <v>1.83</v>
      </c>
      <c r="G71" s="636">
        <v>51.25</v>
      </c>
      <c r="H71" s="614">
        <v>100</v>
      </c>
      <c r="I71" s="617">
        <v>103.85</v>
      </c>
      <c r="J71" s="617">
        <v>110.99</v>
      </c>
      <c r="K71" s="617">
        <v>111.56</v>
      </c>
      <c r="L71" s="617">
        <v>103.85</v>
      </c>
      <c r="M71" s="617">
        <v>110.17</v>
      </c>
      <c r="N71" s="617">
        <v>113.06</v>
      </c>
      <c r="O71" s="615">
        <v>1.0069999999999999</v>
      </c>
      <c r="P71" s="616">
        <v>1879821</v>
      </c>
      <c r="Q71" s="616">
        <v>1892980</v>
      </c>
    </row>
    <row r="72" spans="1:17" ht="30">
      <c r="A72" s="630">
        <v>29</v>
      </c>
      <c r="B72" s="631" t="s">
        <v>1049</v>
      </c>
      <c r="C72" s="638" t="s">
        <v>67</v>
      </c>
      <c r="D72" s="635">
        <v>35</v>
      </c>
      <c r="E72" s="636">
        <v>41.64</v>
      </c>
      <c r="F72" s="636">
        <v>0</v>
      </c>
      <c r="G72" s="636">
        <v>23.36</v>
      </c>
      <c r="H72" s="614">
        <v>100</v>
      </c>
      <c r="I72" s="617">
        <v>103.85</v>
      </c>
      <c r="J72" s="617">
        <v>110.99</v>
      </c>
      <c r="K72" s="617">
        <v>111.56</v>
      </c>
      <c r="L72" s="617">
        <v>103.85</v>
      </c>
      <c r="M72" s="617">
        <v>110.17</v>
      </c>
      <c r="N72" s="617">
        <v>113.06</v>
      </c>
      <c r="O72" s="615">
        <v>1.0029999999999999</v>
      </c>
      <c r="P72" s="616">
        <v>4745755</v>
      </c>
      <c r="Q72" s="616">
        <v>4759992</v>
      </c>
    </row>
    <row r="73" spans="1:17">
      <c r="A73" s="630">
        <v>30</v>
      </c>
      <c r="B73" s="631" t="s">
        <v>1050</v>
      </c>
      <c r="C73" s="638" t="s">
        <v>195</v>
      </c>
      <c r="D73" s="635">
        <v>35</v>
      </c>
      <c r="E73" s="636">
        <v>6.18</v>
      </c>
      <c r="F73" s="636">
        <v>1.64</v>
      </c>
      <c r="G73" s="636">
        <v>57.18</v>
      </c>
      <c r="H73" s="614">
        <v>100</v>
      </c>
      <c r="I73" s="617">
        <v>103.85</v>
      </c>
      <c r="J73" s="617">
        <v>110.99</v>
      </c>
      <c r="K73" s="617">
        <v>111.56</v>
      </c>
      <c r="L73" s="617">
        <v>103.85</v>
      </c>
      <c r="M73" s="617">
        <v>110.17</v>
      </c>
      <c r="N73" s="617">
        <v>113.06</v>
      </c>
      <c r="O73" s="615">
        <v>1.008</v>
      </c>
      <c r="P73" s="616">
        <v>18884703</v>
      </c>
      <c r="Q73" s="616">
        <v>19035781</v>
      </c>
    </row>
    <row r="74" spans="1:17">
      <c r="A74" s="630">
        <v>31</v>
      </c>
      <c r="B74" s="631" t="s">
        <v>1051</v>
      </c>
      <c r="C74" s="638" t="s">
        <v>195</v>
      </c>
      <c r="D74" s="635">
        <v>35</v>
      </c>
      <c r="E74" s="636">
        <v>6.49</v>
      </c>
      <c r="F74" s="636">
        <v>1.72</v>
      </c>
      <c r="G74" s="636">
        <v>56.79</v>
      </c>
      <c r="H74" s="614">
        <v>100</v>
      </c>
      <c r="I74" s="617">
        <v>103.85</v>
      </c>
      <c r="J74" s="617">
        <v>110.99</v>
      </c>
      <c r="K74" s="617">
        <v>111.56</v>
      </c>
      <c r="L74" s="617">
        <v>103.85</v>
      </c>
      <c r="M74" s="617">
        <v>110.17</v>
      </c>
      <c r="N74" s="617">
        <v>113.06</v>
      </c>
      <c r="O74" s="615">
        <v>1.008</v>
      </c>
      <c r="P74" s="616">
        <v>19258747</v>
      </c>
      <c r="Q74" s="616">
        <v>19412817</v>
      </c>
    </row>
    <row r="75" spans="1:17">
      <c r="A75" s="630">
        <v>32</v>
      </c>
      <c r="B75" s="631" t="s">
        <v>1052</v>
      </c>
      <c r="C75" s="638" t="s">
        <v>195</v>
      </c>
      <c r="D75" s="635">
        <v>35</v>
      </c>
      <c r="E75" s="636">
        <v>6.24</v>
      </c>
      <c r="F75" s="636">
        <v>1.66</v>
      </c>
      <c r="G75" s="636">
        <v>57.1</v>
      </c>
      <c r="H75" s="614">
        <v>100</v>
      </c>
      <c r="I75" s="617">
        <v>103.85</v>
      </c>
      <c r="J75" s="617">
        <v>110.99</v>
      </c>
      <c r="K75" s="617">
        <v>111.56</v>
      </c>
      <c r="L75" s="617">
        <v>103.85</v>
      </c>
      <c r="M75" s="617">
        <v>110.17</v>
      </c>
      <c r="N75" s="617">
        <v>113.06</v>
      </c>
      <c r="O75" s="615">
        <v>1.008</v>
      </c>
      <c r="P75" s="616">
        <v>18789018</v>
      </c>
      <c r="Q75" s="616">
        <v>18939330</v>
      </c>
    </row>
    <row r="76" spans="1:17">
      <c r="A76" s="630">
        <v>33</v>
      </c>
      <c r="B76" s="631" t="s">
        <v>1053</v>
      </c>
      <c r="C76" s="638" t="s">
        <v>195</v>
      </c>
      <c r="D76" s="635">
        <v>35</v>
      </c>
      <c r="E76" s="636">
        <v>6.16</v>
      </c>
      <c r="F76" s="636">
        <v>1.64</v>
      </c>
      <c r="G76" s="636">
        <v>57.2</v>
      </c>
      <c r="H76" s="614">
        <v>100</v>
      </c>
      <c r="I76" s="617">
        <v>103.85</v>
      </c>
      <c r="J76" s="617">
        <v>110.99</v>
      </c>
      <c r="K76" s="617">
        <v>111.56</v>
      </c>
      <c r="L76" s="617">
        <v>103.85</v>
      </c>
      <c r="M76" s="617">
        <v>110.17</v>
      </c>
      <c r="N76" s="617">
        <v>113.06</v>
      </c>
      <c r="O76" s="615">
        <v>1.008</v>
      </c>
      <c r="P76" s="616">
        <v>19025125</v>
      </c>
      <c r="Q76" s="616">
        <v>19177326</v>
      </c>
    </row>
    <row r="77" spans="1:17">
      <c r="A77" s="630">
        <v>34</v>
      </c>
      <c r="B77" s="631" t="s">
        <v>1054</v>
      </c>
      <c r="C77" s="638" t="s">
        <v>30</v>
      </c>
      <c r="D77" s="635">
        <v>35</v>
      </c>
      <c r="E77" s="636">
        <v>22.3</v>
      </c>
      <c r="F77" s="636">
        <v>0.74</v>
      </c>
      <c r="G77" s="636">
        <v>41.96</v>
      </c>
      <c r="H77" s="614">
        <v>100</v>
      </c>
      <c r="I77" s="617">
        <v>103.85</v>
      </c>
      <c r="J77" s="617">
        <v>110.99</v>
      </c>
      <c r="K77" s="617">
        <v>111.56</v>
      </c>
      <c r="L77" s="617">
        <v>103.85</v>
      </c>
      <c r="M77" s="617">
        <v>110.17</v>
      </c>
      <c r="N77" s="617">
        <v>113.06</v>
      </c>
      <c r="O77" s="615">
        <v>1.006</v>
      </c>
      <c r="P77" s="616">
        <v>1058411</v>
      </c>
      <c r="Q77" s="616">
        <v>1064761</v>
      </c>
    </row>
    <row r="78" spans="1:17">
      <c r="A78" s="630">
        <v>35</v>
      </c>
      <c r="B78" s="631" t="s">
        <v>1055</v>
      </c>
      <c r="C78" s="638" t="s">
        <v>30</v>
      </c>
      <c r="D78" s="635">
        <v>35</v>
      </c>
      <c r="E78" s="636">
        <v>24.61</v>
      </c>
      <c r="F78" s="636">
        <v>0.86</v>
      </c>
      <c r="G78" s="636">
        <v>39.53</v>
      </c>
      <c r="H78" s="614">
        <v>100</v>
      </c>
      <c r="I78" s="617">
        <v>103.85</v>
      </c>
      <c r="J78" s="617">
        <v>110.99</v>
      </c>
      <c r="K78" s="617">
        <v>111.56</v>
      </c>
      <c r="L78" s="617">
        <v>103.85</v>
      </c>
      <c r="M78" s="617">
        <v>110.17</v>
      </c>
      <c r="N78" s="617">
        <v>113.06</v>
      </c>
      <c r="O78" s="615">
        <v>1.0049999999999999</v>
      </c>
      <c r="P78" s="616">
        <v>892360</v>
      </c>
      <c r="Q78" s="616">
        <v>896822</v>
      </c>
    </row>
    <row r="79" spans="1:17">
      <c r="A79" s="630">
        <v>36</v>
      </c>
      <c r="B79" s="631" t="s">
        <v>1056</v>
      </c>
      <c r="C79" s="638" t="s">
        <v>106</v>
      </c>
      <c r="D79" s="635">
        <v>35</v>
      </c>
      <c r="E79" s="636">
        <v>21.04</v>
      </c>
      <c r="F79" s="636">
        <v>0</v>
      </c>
      <c r="G79" s="636">
        <v>43.96</v>
      </c>
      <c r="H79" s="614">
        <v>100</v>
      </c>
      <c r="I79" s="617">
        <v>103.85</v>
      </c>
      <c r="J79" s="617">
        <v>110.99</v>
      </c>
      <c r="K79" s="617">
        <v>111.56</v>
      </c>
      <c r="L79" s="617">
        <v>103.85</v>
      </c>
      <c r="M79" s="617">
        <v>110.17</v>
      </c>
      <c r="N79" s="617">
        <v>113.06</v>
      </c>
      <c r="O79" s="615">
        <v>1.006</v>
      </c>
      <c r="P79" s="616">
        <v>3887747</v>
      </c>
      <c r="Q79" s="616">
        <v>3911073</v>
      </c>
    </row>
    <row r="80" spans="1:17" ht="30">
      <c r="A80" s="630">
        <v>37</v>
      </c>
      <c r="B80" s="631" t="s">
        <v>551</v>
      </c>
      <c r="C80" s="638" t="s">
        <v>90</v>
      </c>
      <c r="D80" s="635">
        <v>35</v>
      </c>
      <c r="E80" s="636">
        <v>52.06</v>
      </c>
      <c r="F80" s="636">
        <v>0</v>
      </c>
      <c r="G80" s="636">
        <v>12.94</v>
      </c>
      <c r="H80" s="614">
        <v>100</v>
      </c>
      <c r="I80" s="617">
        <v>103.85</v>
      </c>
      <c r="J80" s="617">
        <v>110.99</v>
      </c>
      <c r="K80" s="617">
        <v>111.56</v>
      </c>
      <c r="L80" s="617">
        <v>103.85</v>
      </c>
      <c r="M80" s="617">
        <v>110.17</v>
      </c>
      <c r="N80" s="617">
        <v>113.06</v>
      </c>
      <c r="O80" s="615">
        <v>1.002</v>
      </c>
      <c r="P80" s="616">
        <v>672848</v>
      </c>
      <c r="Q80" s="616">
        <v>674194</v>
      </c>
    </row>
    <row r="81" spans="1:17">
      <c r="A81" s="630" t="s">
        <v>337</v>
      </c>
      <c r="B81" s="631" t="s">
        <v>1057</v>
      </c>
      <c r="C81" s="638"/>
      <c r="D81" s="635"/>
      <c r="E81" s="636"/>
      <c r="F81" s="636"/>
      <c r="G81" s="636"/>
      <c r="H81" s="614"/>
      <c r="I81" s="617"/>
      <c r="J81" s="617"/>
      <c r="K81" s="617"/>
      <c r="L81" s="617"/>
      <c r="M81" s="617"/>
      <c r="N81" s="617"/>
      <c r="O81" s="615"/>
      <c r="P81" s="616"/>
      <c r="Q81" s="616">
        <v>0</v>
      </c>
    </row>
    <row r="82" spans="1:17" ht="30">
      <c r="A82" s="630">
        <v>41</v>
      </c>
      <c r="B82" s="631" t="s">
        <v>1058</v>
      </c>
      <c r="C82" s="638" t="s">
        <v>30</v>
      </c>
      <c r="D82" s="635">
        <v>35</v>
      </c>
      <c r="E82" s="636">
        <v>25.14</v>
      </c>
      <c r="F82" s="636">
        <v>1.84</v>
      </c>
      <c r="G82" s="636">
        <v>38.020000000000003</v>
      </c>
      <c r="H82" s="614">
        <v>100</v>
      </c>
      <c r="I82" s="617">
        <v>103.85</v>
      </c>
      <c r="J82" s="617">
        <v>110.99</v>
      </c>
      <c r="K82" s="617">
        <v>111.56</v>
      </c>
      <c r="L82" s="617">
        <v>103.85</v>
      </c>
      <c r="M82" s="617">
        <v>110.17</v>
      </c>
      <c r="N82" s="617">
        <v>113.06</v>
      </c>
      <c r="O82" s="615">
        <v>1.0049999999999999</v>
      </c>
      <c r="P82" s="616">
        <v>2672535</v>
      </c>
      <c r="Q82" s="616">
        <v>2685898</v>
      </c>
    </row>
    <row r="83" spans="1:17" ht="30">
      <c r="A83" s="630">
        <v>42</v>
      </c>
      <c r="B83" s="631" t="s">
        <v>1059</v>
      </c>
      <c r="C83" s="638" t="s">
        <v>67</v>
      </c>
      <c r="D83" s="635">
        <v>35</v>
      </c>
      <c r="E83" s="636">
        <v>36.93</v>
      </c>
      <c r="F83" s="636">
        <v>2.27</v>
      </c>
      <c r="G83" s="636">
        <v>25.8</v>
      </c>
      <c r="H83" s="614">
        <v>100</v>
      </c>
      <c r="I83" s="617">
        <v>103.85</v>
      </c>
      <c r="J83" s="617">
        <v>110.99</v>
      </c>
      <c r="K83" s="617">
        <v>111.56</v>
      </c>
      <c r="L83" s="617">
        <v>103.85</v>
      </c>
      <c r="M83" s="617">
        <v>110.17</v>
      </c>
      <c r="N83" s="617">
        <v>113.06</v>
      </c>
      <c r="O83" s="615">
        <v>1.0029999999999999</v>
      </c>
      <c r="P83" s="616">
        <v>16721582</v>
      </c>
      <c r="Q83" s="616">
        <v>16771747</v>
      </c>
    </row>
    <row r="84" spans="1:17">
      <c r="A84" s="630">
        <v>43</v>
      </c>
      <c r="B84" s="631" t="s">
        <v>1060</v>
      </c>
      <c r="C84" s="638" t="s">
        <v>195</v>
      </c>
      <c r="D84" s="635">
        <v>35</v>
      </c>
      <c r="E84" s="636">
        <v>10.6</v>
      </c>
      <c r="F84" s="636">
        <v>0.31</v>
      </c>
      <c r="G84" s="636">
        <v>54.09</v>
      </c>
      <c r="H84" s="614">
        <v>100</v>
      </c>
      <c r="I84" s="617">
        <v>103.85</v>
      </c>
      <c r="J84" s="617">
        <v>110.99</v>
      </c>
      <c r="K84" s="617">
        <v>111.56</v>
      </c>
      <c r="L84" s="617">
        <v>103.85</v>
      </c>
      <c r="M84" s="617">
        <v>110.17</v>
      </c>
      <c r="N84" s="617">
        <v>113.06</v>
      </c>
      <c r="O84" s="615">
        <v>1.0069999999999999</v>
      </c>
      <c r="P84" s="616">
        <v>21046356</v>
      </c>
      <c r="Q84" s="616">
        <v>21193680</v>
      </c>
    </row>
    <row r="85" spans="1:17">
      <c r="A85" s="630">
        <v>44</v>
      </c>
      <c r="B85" s="631" t="s">
        <v>1061</v>
      </c>
      <c r="C85" s="638" t="s">
        <v>195</v>
      </c>
      <c r="D85" s="635">
        <v>35</v>
      </c>
      <c r="E85" s="636">
        <v>11.14</v>
      </c>
      <c r="F85" s="636">
        <v>0.33</v>
      </c>
      <c r="G85" s="636">
        <v>53.53</v>
      </c>
      <c r="H85" s="614">
        <v>100</v>
      </c>
      <c r="I85" s="617">
        <v>103.85</v>
      </c>
      <c r="J85" s="617">
        <v>110.99</v>
      </c>
      <c r="K85" s="617">
        <v>111.56</v>
      </c>
      <c r="L85" s="617">
        <v>103.85</v>
      </c>
      <c r="M85" s="617">
        <v>110.17</v>
      </c>
      <c r="N85" s="617">
        <v>113.06</v>
      </c>
      <c r="O85" s="615">
        <v>1.0069999999999999</v>
      </c>
      <c r="P85" s="616">
        <v>18817954</v>
      </c>
      <c r="Q85" s="616">
        <v>18949680</v>
      </c>
    </row>
    <row r="86" spans="1:17" ht="30">
      <c r="A86" s="630">
        <v>45</v>
      </c>
      <c r="B86" s="631" t="s">
        <v>1062</v>
      </c>
      <c r="C86" s="638" t="s">
        <v>106</v>
      </c>
      <c r="D86" s="635">
        <v>35</v>
      </c>
      <c r="E86" s="636">
        <v>16.260000000000002</v>
      </c>
      <c r="F86" s="636">
        <v>0</v>
      </c>
      <c r="G86" s="636">
        <v>48.74</v>
      </c>
      <c r="H86" s="614"/>
      <c r="I86" s="617">
        <v>103.85</v>
      </c>
      <c r="J86" s="617">
        <v>110.99</v>
      </c>
      <c r="K86" s="617">
        <v>111.56</v>
      </c>
      <c r="L86" s="617">
        <v>103.85</v>
      </c>
      <c r="M86" s="617">
        <v>110.17</v>
      </c>
      <c r="N86" s="617">
        <v>113.06</v>
      </c>
      <c r="O86" s="615">
        <v>1.0069999999999999</v>
      </c>
      <c r="P86" s="616">
        <v>18108807</v>
      </c>
      <c r="Q86" s="616">
        <v>18235569</v>
      </c>
    </row>
    <row r="87" spans="1:17" ht="30">
      <c r="A87" s="630">
        <v>46</v>
      </c>
      <c r="B87" s="631" t="s">
        <v>1063</v>
      </c>
      <c r="C87" s="638" t="s">
        <v>106</v>
      </c>
      <c r="D87" s="635">
        <v>35</v>
      </c>
      <c r="E87" s="636">
        <v>20.66</v>
      </c>
      <c r="F87" s="636">
        <v>0</v>
      </c>
      <c r="G87" s="636">
        <v>44.34</v>
      </c>
      <c r="H87" s="614">
        <v>100</v>
      </c>
      <c r="I87" s="617">
        <v>103.85</v>
      </c>
      <c r="J87" s="617">
        <v>110.99</v>
      </c>
      <c r="K87" s="617">
        <v>111.56</v>
      </c>
      <c r="L87" s="617">
        <v>103.85</v>
      </c>
      <c r="M87" s="617">
        <v>110.17</v>
      </c>
      <c r="N87" s="617">
        <v>113.06</v>
      </c>
      <c r="O87" s="615">
        <v>1.006</v>
      </c>
      <c r="P87" s="616">
        <v>12267842</v>
      </c>
      <c r="Q87" s="616">
        <v>12341449</v>
      </c>
    </row>
    <row r="88" spans="1:17">
      <c r="A88" s="630" t="s">
        <v>902</v>
      </c>
      <c r="B88" s="631" t="s">
        <v>1064</v>
      </c>
      <c r="C88" s="638"/>
      <c r="D88" s="610"/>
      <c r="E88" s="636"/>
      <c r="F88" s="636"/>
      <c r="G88" s="636"/>
      <c r="H88" s="614"/>
      <c r="I88" s="617"/>
      <c r="J88" s="617"/>
      <c r="K88" s="617"/>
      <c r="L88" s="617"/>
      <c r="M88" s="617"/>
      <c r="N88" s="617"/>
      <c r="O88" s="615"/>
      <c r="P88" s="616">
        <v>0</v>
      </c>
      <c r="Q88" s="616">
        <v>0</v>
      </c>
    </row>
    <row r="89" spans="1:17" ht="30">
      <c r="A89" s="630">
        <v>47</v>
      </c>
      <c r="B89" s="631" t="s">
        <v>1065</v>
      </c>
      <c r="C89" s="638" t="s">
        <v>30</v>
      </c>
      <c r="D89" s="635">
        <v>35</v>
      </c>
      <c r="E89" s="636">
        <v>12.54</v>
      </c>
      <c r="F89" s="636">
        <v>2.21</v>
      </c>
      <c r="G89" s="636">
        <v>50.25</v>
      </c>
      <c r="H89" s="614">
        <v>100</v>
      </c>
      <c r="I89" s="617">
        <v>103.85</v>
      </c>
      <c r="J89" s="617">
        <v>110.99</v>
      </c>
      <c r="K89" s="617">
        <v>111.56</v>
      </c>
      <c r="L89" s="617">
        <v>103.85</v>
      </c>
      <c r="M89" s="617">
        <v>110.17</v>
      </c>
      <c r="N89" s="617">
        <v>113.06</v>
      </c>
      <c r="O89" s="615">
        <v>1.0069999999999999</v>
      </c>
      <c r="P89" s="616">
        <v>1650615</v>
      </c>
      <c r="Q89" s="616">
        <v>1662169</v>
      </c>
    </row>
    <row r="90" spans="1:17" ht="30">
      <c r="A90" s="630">
        <v>48</v>
      </c>
      <c r="B90" s="631" t="s">
        <v>1066</v>
      </c>
      <c r="C90" s="638" t="s">
        <v>30</v>
      </c>
      <c r="D90" s="635">
        <v>35</v>
      </c>
      <c r="E90" s="636">
        <v>11.92</v>
      </c>
      <c r="F90" s="636">
        <v>1.83</v>
      </c>
      <c r="G90" s="636">
        <v>51.25</v>
      </c>
      <c r="H90" s="614">
        <v>100</v>
      </c>
      <c r="I90" s="617">
        <v>103.85</v>
      </c>
      <c r="J90" s="617">
        <v>110.99</v>
      </c>
      <c r="K90" s="617">
        <v>111.56</v>
      </c>
      <c r="L90" s="617">
        <v>103.85</v>
      </c>
      <c r="M90" s="617">
        <v>110.17</v>
      </c>
      <c r="N90" s="617">
        <v>113.06</v>
      </c>
      <c r="O90" s="615">
        <v>1.0069999999999999</v>
      </c>
      <c r="P90" s="616">
        <v>1879821</v>
      </c>
      <c r="Q90" s="616">
        <v>1892980</v>
      </c>
    </row>
    <row r="91" spans="1:17">
      <c r="A91" s="630">
        <v>49</v>
      </c>
      <c r="B91" s="631" t="s">
        <v>1067</v>
      </c>
      <c r="C91" s="638" t="s">
        <v>30</v>
      </c>
      <c r="D91" s="635">
        <v>35</v>
      </c>
      <c r="E91" s="636">
        <v>17.87</v>
      </c>
      <c r="F91" s="636">
        <v>3.16</v>
      </c>
      <c r="G91" s="636">
        <v>43.97</v>
      </c>
      <c r="H91" s="614">
        <v>100</v>
      </c>
      <c r="I91" s="617">
        <v>103.85</v>
      </c>
      <c r="J91" s="617">
        <v>110.99</v>
      </c>
      <c r="K91" s="617">
        <v>111.56</v>
      </c>
      <c r="L91" s="617">
        <v>103.85</v>
      </c>
      <c r="M91" s="617">
        <v>110.17</v>
      </c>
      <c r="N91" s="617">
        <v>113.06</v>
      </c>
      <c r="O91" s="615">
        <v>1.006</v>
      </c>
      <c r="P91" s="616">
        <v>2071335</v>
      </c>
      <c r="Q91" s="616">
        <v>2083763</v>
      </c>
    </row>
    <row r="92" spans="1:17" ht="30">
      <c r="A92" s="630">
        <v>50</v>
      </c>
      <c r="B92" s="631" t="s">
        <v>1068</v>
      </c>
      <c r="C92" s="638" t="s">
        <v>30</v>
      </c>
      <c r="D92" s="635">
        <v>35</v>
      </c>
      <c r="E92" s="636">
        <v>19.97</v>
      </c>
      <c r="F92" s="636">
        <v>3.02</v>
      </c>
      <c r="G92" s="636">
        <v>42.01</v>
      </c>
      <c r="H92" s="614">
        <v>100</v>
      </c>
      <c r="I92" s="617">
        <v>103.85</v>
      </c>
      <c r="J92" s="617">
        <v>110.99</v>
      </c>
      <c r="K92" s="617">
        <v>111.56</v>
      </c>
      <c r="L92" s="617">
        <v>103.85</v>
      </c>
      <c r="M92" s="617">
        <v>110.17</v>
      </c>
      <c r="N92" s="617">
        <v>113.06</v>
      </c>
      <c r="O92" s="615">
        <v>1.0049999999999999</v>
      </c>
      <c r="P92" s="616">
        <v>2167802</v>
      </c>
      <c r="Q92" s="616">
        <v>2178641</v>
      </c>
    </row>
    <row r="93" spans="1:17" ht="30">
      <c r="A93" s="630">
        <v>51</v>
      </c>
      <c r="B93" s="631" t="s">
        <v>1069</v>
      </c>
      <c r="C93" s="638" t="s">
        <v>67</v>
      </c>
      <c r="D93" s="635">
        <v>35</v>
      </c>
      <c r="E93" s="636">
        <v>41.64</v>
      </c>
      <c r="F93" s="636">
        <v>0</v>
      </c>
      <c r="G93" s="636">
        <v>23.36</v>
      </c>
      <c r="H93" s="614">
        <v>100</v>
      </c>
      <c r="I93" s="617">
        <v>103.85</v>
      </c>
      <c r="J93" s="617">
        <v>110.99</v>
      </c>
      <c r="K93" s="617">
        <v>111.56</v>
      </c>
      <c r="L93" s="617">
        <v>103.85</v>
      </c>
      <c r="M93" s="617">
        <v>110.17</v>
      </c>
      <c r="N93" s="617">
        <v>113.06</v>
      </c>
      <c r="O93" s="615">
        <v>1.0029999999999999</v>
      </c>
      <c r="P93" s="616">
        <v>4745755</v>
      </c>
      <c r="Q93" s="616">
        <v>4759992</v>
      </c>
    </row>
    <row r="94" spans="1:17">
      <c r="A94" s="630">
        <v>52</v>
      </c>
      <c r="B94" s="631" t="s">
        <v>1070</v>
      </c>
      <c r="C94" s="638" t="s">
        <v>67</v>
      </c>
      <c r="D94" s="635">
        <v>35</v>
      </c>
      <c r="E94" s="636">
        <v>31.21</v>
      </c>
      <c r="F94" s="636">
        <v>2.69</v>
      </c>
      <c r="G94" s="636">
        <v>31.1</v>
      </c>
      <c r="H94" s="614">
        <v>100</v>
      </c>
      <c r="I94" s="617">
        <v>103.85</v>
      </c>
      <c r="J94" s="617">
        <v>110.99</v>
      </c>
      <c r="K94" s="617">
        <v>111.56</v>
      </c>
      <c r="L94" s="617">
        <v>103.85</v>
      </c>
      <c r="M94" s="617">
        <v>110.17</v>
      </c>
      <c r="N94" s="617">
        <v>113.06</v>
      </c>
      <c r="O94" s="615">
        <v>1.004</v>
      </c>
      <c r="P94" s="616">
        <v>16796784</v>
      </c>
      <c r="Q94" s="616">
        <v>16863971</v>
      </c>
    </row>
    <row r="95" spans="1:17" ht="30">
      <c r="A95" s="630">
        <v>53</v>
      </c>
      <c r="B95" s="631" t="s">
        <v>1071</v>
      </c>
      <c r="C95" s="638" t="s">
        <v>67</v>
      </c>
      <c r="D95" s="635">
        <v>35</v>
      </c>
      <c r="E95" s="636">
        <v>27.07</v>
      </c>
      <c r="F95" s="636">
        <v>0</v>
      </c>
      <c r="G95" s="636">
        <v>37.93</v>
      </c>
      <c r="H95" s="614">
        <v>100</v>
      </c>
      <c r="I95" s="617">
        <v>103.85</v>
      </c>
      <c r="J95" s="617">
        <v>110.99</v>
      </c>
      <c r="K95" s="617">
        <v>111.56</v>
      </c>
      <c r="L95" s="617">
        <v>103.85</v>
      </c>
      <c r="M95" s="617">
        <v>110.17</v>
      </c>
      <c r="N95" s="617">
        <v>113.06</v>
      </c>
      <c r="O95" s="615">
        <v>1.0049999999999999</v>
      </c>
      <c r="P95" s="616">
        <v>27264223</v>
      </c>
      <c r="Q95" s="616">
        <v>27400544</v>
      </c>
    </row>
    <row r="96" spans="1:17">
      <c r="A96" s="630">
        <v>54</v>
      </c>
      <c r="B96" s="631" t="s">
        <v>1072</v>
      </c>
      <c r="C96" s="638" t="s">
        <v>195</v>
      </c>
      <c r="D96" s="635">
        <v>35</v>
      </c>
      <c r="E96" s="636">
        <v>8.83</v>
      </c>
      <c r="F96" s="636">
        <v>0.34</v>
      </c>
      <c r="G96" s="636">
        <v>55.83</v>
      </c>
      <c r="H96" s="614">
        <v>100</v>
      </c>
      <c r="I96" s="617">
        <v>103.85</v>
      </c>
      <c r="J96" s="617">
        <v>110.99</v>
      </c>
      <c r="K96" s="617">
        <v>111.56</v>
      </c>
      <c r="L96" s="617">
        <v>103.85</v>
      </c>
      <c r="M96" s="617">
        <v>110.17</v>
      </c>
      <c r="N96" s="617">
        <v>113.06</v>
      </c>
      <c r="O96" s="615">
        <v>1.0069999999999999</v>
      </c>
      <c r="P96" s="616">
        <v>18000278</v>
      </c>
      <c r="Q96" s="616">
        <v>18126280</v>
      </c>
    </row>
    <row r="97" spans="1:17">
      <c r="A97" s="630">
        <v>55</v>
      </c>
      <c r="B97" s="631" t="s">
        <v>1073</v>
      </c>
      <c r="C97" s="638" t="s">
        <v>195</v>
      </c>
      <c r="D97" s="635">
        <v>35</v>
      </c>
      <c r="E97" s="636">
        <v>6.49</v>
      </c>
      <c r="F97" s="636">
        <v>1.72</v>
      </c>
      <c r="G97" s="636">
        <v>56.79</v>
      </c>
      <c r="H97" s="614">
        <v>100</v>
      </c>
      <c r="I97" s="617">
        <v>103.85</v>
      </c>
      <c r="J97" s="617">
        <v>110.99</v>
      </c>
      <c r="K97" s="617">
        <v>111.56</v>
      </c>
      <c r="L97" s="617">
        <v>103.85</v>
      </c>
      <c r="M97" s="617">
        <v>110.17</v>
      </c>
      <c r="N97" s="617">
        <v>113.06</v>
      </c>
      <c r="O97" s="615">
        <v>1.008</v>
      </c>
      <c r="P97" s="616">
        <v>19258747</v>
      </c>
      <c r="Q97" s="616">
        <v>19412817</v>
      </c>
    </row>
    <row r="98" spans="1:17">
      <c r="A98" s="630">
        <v>56</v>
      </c>
      <c r="B98" s="631" t="s">
        <v>1074</v>
      </c>
      <c r="C98" s="638" t="s">
        <v>195</v>
      </c>
      <c r="D98" s="635">
        <v>35</v>
      </c>
      <c r="E98" s="636">
        <v>10.98</v>
      </c>
      <c r="F98" s="636">
        <v>0.33</v>
      </c>
      <c r="G98" s="636">
        <v>53.69</v>
      </c>
      <c r="H98" s="614">
        <v>100</v>
      </c>
      <c r="I98" s="617">
        <v>103.85</v>
      </c>
      <c r="J98" s="617">
        <v>110.99</v>
      </c>
      <c r="K98" s="617">
        <v>111.56</v>
      </c>
      <c r="L98" s="617">
        <v>103.85</v>
      </c>
      <c r="M98" s="617">
        <v>110.17</v>
      </c>
      <c r="N98" s="617">
        <v>113.06</v>
      </c>
      <c r="O98" s="615">
        <v>1.0069999999999999</v>
      </c>
      <c r="P98" s="616">
        <v>18762541</v>
      </c>
      <c r="Q98" s="616">
        <v>18893879</v>
      </c>
    </row>
    <row r="99" spans="1:17">
      <c r="A99" s="630">
        <v>57</v>
      </c>
      <c r="B99" s="631" t="s">
        <v>1075</v>
      </c>
      <c r="C99" s="638" t="s">
        <v>195</v>
      </c>
      <c r="D99" s="635">
        <v>35</v>
      </c>
      <c r="E99" s="636">
        <v>8.2200000000000006</v>
      </c>
      <c r="F99" s="636">
        <v>1.76</v>
      </c>
      <c r="G99" s="636">
        <v>55.02</v>
      </c>
      <c r="H99" s="614">
        <v>100</v>
      </c>
      <c r="I99" s="617">
        <v>103.85</v>
      </c>
      <c r="J99" s="617">
        <v>110.99</v>
      </c>
      <c r="K99" s="617">
        <v>111.56</v>
      </c>
      <c r="L99" s="617">
        <v>103.85</v>
      </c>
      <c r="M99" s="617">
        <v>110.17</v>
      </c>
      <c r="N99" s="617">
        <v>113.06</v>
      </c>
      <c r="O99" s="615">
        <v>1.0069999999999999</v>
      </c>
      <c r="P99" s="616">
        <v>19877397</v>
      </c>
      <c r="Q99" s="616">
        <v>20016539</v>
      </c>
    </row>
    <row r="100" spans="1:17" ht="30">
      <c r="A100" s="630">
        <v>58</v>
      </c>
      <c r="B100" s="631" t="s">
        <v>1063</v>
      </c>
      <c r="C100" s="638" t="s">
        <v>106</v>
      </c>
      <c r="D100" s="635">
        <v>35</v>
      </c>
      <c r="E100" s="636">
        <v>20.66</v>
      </c>
      <c r="F100" s="636">
        <v>0</v>
      </c>
      <c r="G100" s="636">
        <v>44.34</v>
      </c>
      <c r="H100" s="614">
        <v>100</v>
      </c>
      <c r="I100" s="617">
        <v>103.85</v>
      </c>
      <c r="J100" s="617">
        <v>110.99</v>
      </c>
      <c r="K100" s="617">
        <v>111.56</v>
      </c>
      <c r="L100" s="617">
        <v>103.85</v>
      </c>
      <c r="M100" s="617">
        <v>110.17</v>
      </c>
      <c r="N100" s="617">
        <v>113.06</v>
      </c>
      <c r="O100" s="615">
        <v>1.006</v>
      </c>
      <c r="P100" s="616">
        <v>12267842</v>
      </c>
      <c r="Q100" s="616">
        <v>12341449</v>
      </c>
    </row>
    <row r="101" spans="1:17">
      <c r="A101" s="630">
        <v>59</v>
      </c>
      <c r="B101" s="631" t="s">
        <v>1076</v>
      </c>
      <c r="C101" s="638" t="s">
        <v>195</v>
      </c>
      <c r="D101" s="635">
        <v>35</v>
      </c>
      <c r="E101" s="636">
        <v>18.55</v>
      </c>
      <c r="F101" s="636">
        <v>4.05</v>
      </c>
      <c r="G101" s="636">
        <v>42.4</v>
      </c>
      <c r="H101" s="614">
        <v>100</v>
      </c>
      <c r="I101" s="617">
        <v>103.85</v>
      </c>
      <c r="J101" s="617">
        <v>110.99</v>
      </c>
      <c r="K101" s="617">
        <v>111.56</v>
      </c>
      <c r="L101" s="617">
        <v>103.85</v>
      </c>
      <c r="M101" s="617">
        <v>110.17</v>
      </c>
      <c r="N101" s="617">
        <v>113.06</v>
      </c>
      <c r="O101" s="615">
        <v>1.0049999999999999</v>
      </c>
      <c r="P101" s="616">
        <v>33081246</v>
      </c>
      <c r="Q101" s="616">
        <v>33246652</v>
      </c>
    </row>
    <row r="102" spans="1:17">
      <c r="A102" s="630">
        <v>60</v>
      </c>
      <c r="B102" s="631" t="s">
        <v>1077</v>
      </c>
      <c r="C102" s="638" t="s">
        <v>210</v>
      </c>
      <c r="D102" s="635">
        <v>35</v>
      </c>
      <c r="E102" s="636">
        <v>0</v>
      </c>
      <c r="F102" s="636">
        <v>0</v>
      </c>
      <c r="G102" s="636">
        <v>65</v>
      </c>
      <c r="H102" s="614">
        <v>100</v>
      </c>
      <c r="I102" s="617">
        <v>103.85</v>
      </c>
      <c r="J102" s="617">
        <v>110.99</v>
      </c>
      <c r="K102" s="617">
        <v>111.56</v>
      </c>
      <c r="L102" s="617">
        <v>103.85</v>
      </c>
      <c r="M102" s="617">
        <v>110.17</v>
      </c>
      <c r="N102" s="617">
        <v>113.06</v>
      </c>
      <c r="O102" s="615">
        <v>1.0089999999999999</v>
      </c>
      <c r="P102" s="616">
        <v>4873</v>
      </c>
      <c r="Q102" s="616">
        <v>4917</v>
      </c>
    </row>
    <row r="103" spans="1:17">
      <c r="A103" s="630">
        <v>61</v>
      </c>
      <c r="B103" s="631" t="s">
        <v>1078</v>
      </c>
      <c r="C103" s="638" t="s">
        <v>210</v>
      </c>
      <c r="D103" s="635">
        <v>35</v>
      </c>
      <c r="E103" s="636">
        <v>65</v>
      </c>
      <c r="F103" s="636">
        <v>0</v>
      </c>
      <c r="G103" s="636">
        <v>0</v>
      </c>
      <c r="H103" s="614"/>
      <c r="I103" s="617">
        <v>103.85</v>
      </c>
      <c r="J103" s="617">
        <v>110.99</v>
      </c>
      <c r="K103" s="617">
        <v>111.56</v>
      </c>
      <c r="L103" s="617">
        <v>103.85</v>
      </c>
      <c r="M103" s="617">
        <v>110.17</v>
      </c>
      <c r="N103" s="617">
        <v>113.06</v>
      </c>
      <c r="O103" s="615">
        <v>1</v>
      </c>
      <c r="P103" s="616">
        <v>14145</v>
      </c>
      <c r="Q103" s="616">
        <v>14145</v>
      </c>
    </row>
    <row r="104" spans="1:17">
      <c r="A104" s="630" t="s">
        <v>903</v>
      </c>
      <c r="B104" s="631" t="s">
        <v>1079</v>
      </c>
      <c r="C104" s="638"/>
      <c r="D104" s="635"/>
      <c r="E104" s="636"/>
      <c r="F104" s="636"/>
      <c r="G104" s="636"/>
      <c r="H104" s="614"/>
      <c r="I104" s="617"/>
      <c r="J104" s="617"/>
      <c r="K104" s="617"/>
      <c r="L104" s="617"/>
      <c r="M104" s="617"/>
      <c r="N104" s="617"/>
      <c r="O104" s="615"/>
      <c r="P104" s="616">
        <v>0</v>
      </c>
      <c r="Q104" s="616">
        <v>0</v>
      </c>
    </row>
    <row r="105" spans="1:17" ht="30">
      <c r="A105" s="630">
        <v>62</v>
      </c>
      <c r="B105" s="631" t="s">
        <v>1080</v>
      </c>
      <c r="C105" s="638" t="s">
        <v>90</v>
      </c>
      <c r="D105" s="635">
        <v>35</v>
      </c>
      <c r="E105" s="636">
        <v>0</v>
      </c>
      <c r="F105" s="636">
        <v>0</v>
      </c>
      <c r="G105" s="636">
        <v>65</v>
      </c>
      <c r="H105" s="614">
        <v>100</v>
      </c>
      <c r="I105" s="617">
        <v>103.85</v>
      </c>
      <c r="J105" s="617">
        <v>110.99</v>
      </c>
      <c r="K105" s="617">
        <v>111.56</v>
      </c>
      <c r="L105" s="617">
        <v>103.85</v>
      </c>
      <c r="M105" s="617">
        <v>110.17</v>
      </c>
      <c r="N105" s="617">
        <v>113.06</v>
      </c>
      <c r="O105" s="615">
        <v>1.0089999999999999</v>
      </c>
      <c r="P105" s="616">
        <v>1281125</v>
      </c>
      <c r="Q105" s="616">
        <v>1292655</v>
      </c>
    </row>
    <row r="106" spans="1:17" ht="30">
      <c r="A106" s="630">
        <v>63</v>
      </c>
      <c r="B106" s="631" t="s">
        <v>1081</v>
      </c>
      <c r="C106" s="638" t="s">
        <v>106</v>
      </c>
      <c r="D106" s="635">
        <v>35</v>
      </c>
      <c r="E106" s="636">
        <v>7.07</v>
      </c>
      <c r="F106" s="636">
        <v>57.93</v>
      </c>
      <c r="G106" s="636">
        <v>0</v>
      </c>
      <c r="H106" s="614">
        <v>100</v>
      </c>
      <c r="I106" s="617">
        <v>103.85</v>
      </c>
      <c r="J106" s="617">
        <v>110.99</v>
      </c>
      <c r="K106" s="617">
        <v>111.56</v>
      </c>
      <c r="L106" s="617">
        <v>103.85</v>
      </c>
      <c r="M106" s="617">
        <v>110.17</v>
      </c>
      <c r="N106" s="617">
        <v>113.06</v>
      </c>
      <c r="O106" s="615">
        <v>0.996</v>
      </c>
      <c r="P106" s="616">
        <v>35345168</v>
      </c>
      <c r="Q106" s="616">
        <v>35203787</v>
      </c>
    </row>
    <row r="107" spans="1:17" ht="30">
      <c r="A107" s="630">
        <v>64</v>
      </c>
      <c r="B107" s="631" t="s">
        <v>1082</v>
      </c>
      <c r="C107" s="638" t="s">
        <v>106</v>
      </c>
      <c r="D107" s="635">
        <v>35</v>
      </c>
      <c r="E107" s="636">
        <v>7.07</v>
      </c>
      <c r="F107" s="636">
        <v>57.93</v>
      </c>
      <c r="G107" s="636">
        <v>0</v>
      </c>
      <c r="H107" s="614"/>
      <c r="I107" s="617">
        <v>103.85</v>
      </c>
      <c r="J107" s="617">
        <v>110.99</v>
      </c>
      <c r="K107" s="617">
        <v>111.56</v>
      </c>
      <c r="L107" s="617">
        <v>103.85</v>
      </c>
      <c r="M107" s="617">
        <v>110.17</v>
      </c>
      <c r="N107" s="617">
        <v>113.06</v>
      </c>
      <c r="O107" s="615">
        <v>0.996</v>
      </c>
      <c r="P107" s="616">
        <v>26508876</v>
      </c>
      <c r="Q107" s="616">
        <v>26402840</v>
      </c>
    </row>
    <row r="108" spans="1:17" ht="45">
      <c r="A108" s="630">
        <v>65</v>
      </c>
      <c r="B108" s="631" t="s">
        <v>1083</v>
      </c>
      <c r="C108" s="638" t="s">
        <v>90</v>
      </c>
      <c r="D108" s="635">
        <v>35</v>
      </c>
      <c r="E108" s="636">
        <v>0</v>
      </c>
      <c r="F108" s="636">
        <v>0</v>
      </c>
      <c r="G108" s="636">
        <v>65</v>
      </c>
      <c r="H108" s="614">
        <v>100</v>
      </c>
      <c r="I108" s="617">
        <v>103.85</v>
      </c>
      <c r="J108" s="617">
        <v>110.99</v>
      </c>
      <c r="K108" s="617">
        <v>111.56</v>
      </c>
      <c r="L108" s="617">
        <v>103.85</v>
      </c>
      <c r="M108" s="617">
        <v>110.17</v>
      </c>
      <c r="N108" s="617">
        <v>113.06</v>
      </c>
      <c r="O108" s="615">
        <v>1.0089999999999999</v>
      </c>
      <c r="P108" s="616">
        <v>370476</v>
      </c>
      <c r="Q108" s="616">
        <v>373810</v>
      </c>
    </row>
    <row r="109" spans="1:17" ht="30">
      <c r="A109" s="630">
        <v>66</v>
      </c>
      <c r="B109" s="631" t="s">
        <v>1084</v>
      </c>
      <c r="C109" s="638" t="s">
        <v>106</v>
      </c>
      <c r="D109" s="635">
        <v>35</v>
      </c>
      <c r="E109" s="636">
        <v>6.75</v>
      </c>
      <c r="F109" s="636">
        <v>58.25</v>
      </c>
      <c r="G109" s="636">
        <v>0</v>
      </c>
      <c r="H109" s="614">
        <v>100</v>
      </c>
      <c r="I109" s="617">
        <v>103.85</v>
      </c>
      <c r="J109" s="617">
        <v>110.99</v>
      </c>
      <c r="K109" s="617">
        <v>111.56</v>
      </c>
      <c r="L109" s="617">
        <v>103.85</v>
      </c>
      <c r="M109" s="617">
        <v>110.17</v>
      </c>
      <c r="N109" s="617">
        <v>113.06</v>
      </c>
      <c r="O109" s="615">
        <v>0.996</v>
      </c>
      <c r="P109" s="616">
        <v>24552400</v>
      </c>
      <c r="Q109" s="616">
        <v>24454190</v>
      </c>
    </row>
    <row r="110" spans="1:17" ht="30">
      <c r="A110" s="630">
        <v>67</v>
      </c>
      <c r="B110" s="631" t="s">
        <v>1085</v>
      </c>
      <c r="C110" s="638" t="s">
        <v>106</v>
      </c>
      <c r="D110" s="635">
        <v>35</v>
      </c>
      <c r="E110" s="636">
        <v>6.75</v>
      </c>
      <c r="F110" s="636">
        <v>58.25</v>
      </c>
      <c r="G110" s="636">
        <v>0</v>
      </c>
      <c r="H110" s="614">
        <v>100</v>
      </c>
      <c r="I110" s="617">
        <v>103.85</v>
      </c>
      <c r="J110" s="617">
        <v>110.99</v>
      </c>
      <c r="K110" s="617">
        <v>111.56</v>
      </c>
      <c r="L110" s="617">
        <v>103.85</v>
      </c>
      <c r="M110" s="617">
        <v>110.17</v>
      </c>
      <c r="N110" s="617">
        <v>113.06</v>
      </c>
      <c r="O110" s="615">
        <v>0.996</v>
      </c>
      <c r="P110" s="616">
        <v>18414301</v>
      </c>
      <c r="Q110" s="616">
        <v>18340644</v>
      </c>
    </row>
    <row r="111" spans="1:17" ht="45">
      <c r="A111" s="630">
        <v>68</v>
      </c>
      <c r="B111" s="631" t="s">
        <v>1086</v>
      </c>
      <c r="C111" s="638" t="s">
        <v>90</v>
      </c>
      <c r="D111" s="635">
        <v>35</v>
      </c>
      <c r="E111" s="636">
        <v>0</v>
      </c>
      <c r="F111" s="636">
        <v>0</v>
      </c>
      <c r="G111" s="636">
        <v>65</v>
      </c>
      <c r="H111" s="614">
        <v>100</v>
      </c>
      <c r="I111" s="617">
        <v>103.85</v>
      </c>
      <c r="J111" s="617">
        <v>110.99</v>
      </c>
      <c r="K111" s="617">
        <v>111.56</v>
      </c>
      <c r="L111" s="617">
        <v>103.85</v>
      </c>
      <c r="M111" s="617">
        <v>110.17</v>
      </c>
      <c r="N111" s="617">
        <v>113.06</v>
      </c>
      <c r="O111" s="615">
        <v>1.0089999999999999</v>
      </c>
      <c r="P111" s="616">
        <v>642194</v>
      </c>
      <c r="Q111" s="616">
        <v>647974</v>
      </c>
    </row>
    <row r="112" spans="1:17">
      <c r="A112" s="630">
        <v>69</v>
      </c>
      <c r="B112" s="631" t="s">
        <v>1087</v>
      </c>
      <c r="C112" s="638" t="s">
        <v>195</v>
      </c>
      <c r="D112" s="635">
        <v>35</v>
      </c>
      <c r="E112" s="636">
        <v>41.13</v>
      </c>
      <c r="F112" s="636">
        <v>17.100000000000001</v>
      </c>
      <c r="G112" s="636">
        <v>6.77</v>
      </c>
      <c r="H112" s="614">
        <v>99.999999999999986</v>
      </c>
      <c r="I112" s="617">
        <v>103.85</v>
      </c>
      <c r="J112" s="617">
        <v>110.99</v>
      </c>
      <c r="K112" s="617">
        <v>111.56</v>
      </c>
      <c r="L112" s="617">
        <v>103.85</v>
      </c>
      <c r="M112" s="617">
        <v>110.17</v>
      </c>
      <c r="N112" s="617">
        <v>113.06</v>
      </c>
      <c r="O112" s="615">
        <v>1</v>
      </c>
      <c r="P112" s="616">
        <v>10392850</v>
      </c>
      <c r="Q112" s="616">
        <v>10392850</v>
      </c>
    </row>
    <row r="113" spans="1:17" ht="30">
      <c r="A113" s="630">
        <v>70</v>
      </c>
      <c r="B113" s="631" t="s">
        <v>1088</v>
      </c>
      <c r="C113" s="638" t="s">
        <v>195</v>
      </c>
      <c r="D113" s="635">
        <v>35</v>
      </c>
      <c r="E113" s="636">
        <v>30.11</v>
      </c>
      <c r="F113" s="636">
        <v>27.76</v>
      </c>
      <c r="G113" s="636">
        <v>7.13</v>
      </c>
      <c r="H113" s="614">
        <v>100</v>
      </c>
      <c r="I113" s="617">
        <v>103.85</v>
      </c>
      <c r="J113" s="617">
        <v>110.99</v>
      </c>
      <c r="K113" s="617">
        <v>111.56</v>
      </c>
      <c r="L113" s="617">
        <v>103.85</v>
      </c>
      <c r="M113" s="617">
        <v>110.17</v>
      </c>
      <c r="N113" s="617">
        <v>113.06</v>
      </c>
      <c r="O113" s="615">
        <v>0.999</v>
      </c>
      <c r="P113" s="616">
        <v>6160609</v>
      </c>
      <c r="Q113" s="616">
        <v>6154448</v>
      </c>
    </row>
    <row r="114" spans="1:17">
      <c r="A114" s="630">
        <v>71</v>
      </c>
      <c r="B114" s="631" t="s">
        <v>1089</v>
      </c>
      <c r="C114" s="638" t="s">
        <v>106</v>
      </c>
      <c r="D114" s="635">
        <v>35</v>
      </c>
      <c r="E114" s="636">
        <v>7.12</v>
      </c>
      <c r="F114" s="636">
        <v>57.88</v>
      </c>
      <c r="G114" s="636">
        <v>0</v>
      </c>
      <c r="H114" s="614">
        <v>100</v>
      </c>
      <c r="I114" s="617">
        <v>103.85</v>
      </c>
      <c r="J114" s="617">
        <v>110.99</v>
      </c>
      <c r="K114" s="617">
        <v>111.56</v>
      </c>
      <c r="L114" s="617">
        <v>103.85</v>
      </c>
      <c r="M114" s="617">
        <v>110.17</v>
      </c>
      <c r="N114" s="617">
        <v>113.06</v>
      </c>
      <c r="O114" s="615">
        <v>0.996</v>
      </c>
      <c r="P114" s="616">
        <v>19555051</v>
      </c>
      <c r="Q114" s="616">
        <v>19476831</v>
      </c>
    </row>
    <row r="115" spans="1:17" ht="30">
      <c r="A115" s="630">
        <v>72</v>
      </c>
      <c r="B115" s="631" t="s">
        <v>1090</v>
      </c>
      <c r="C115" s="638" t="s">
        <v>106</v>
      </c>
      <c r="D115" s="635">
        <v>35</v>
      </c>
      <c r="E115" s="636">
        <v>7.12</v>
      </c>
      <c r="F115" s="636">
        <v>57.88</v>
      </c>
      <c r="G115" s="636">
        <v>0</v>
      </c>
      <c r="H115" s="614">
        <v>100</v>
      </c>
      <c r="I115" s="617">
        <v>103.85</v>
      </c>
      <c r="J115" s="617">
        <v>110.99</v>
      </c>
      <c r="K115" s="617">
        <v>111.56</v>
      </c>
      <c r="L115" s="617">
        <v>103.85</v>
      </c>
      <c r="M115" s="617">
        <v>110.17</v>
      </c>
      <c r="N115" s="617">
        <v>113.06</v>
      </c>
      <c r="O115" s="615">
        <v>0.996</v>
      </c>
      <c r="P115" s="616">
        <v>14666288</v>
      </c>
      <c r="Q115" s="616">
        <v>14607623</v>
      </c>
    </row>
    <row r="116" spans="1:17" ht="30">
      <c r="A116" s="630">
        <v>73</v>
      </c>
      <c r="B116" s="631" t="s">
        <v>1091</v>
      </c>
      <c r="C116" s="638" t="s">
        <v>106</v>
      </c>
      <c r="D116" s="635">
        <v>35</v>
      </c>
      <c r="E116" s="636">
        <v>9.25</v>
      </c>
      <c r="F116" s="636">
        <v>55.75</v>
      </c>
      <c r="G116" s="636">
        <v>0</v>
      </c>
      <c r="H116" s="614"/>
      <c r="I116" s="617">
        <v>103.85</v>
      </c>
      <c r="J116" s="617">
        <v>110.99</v>
      </c>
      <c r="K116" s="617">
        <v>111.56</v>
      </c>
      <c r="L116" s="617">
        <v>103.85</v>
      </c>
      <c r="M116" s="617">
        <v>110.17</v>
      </c>
      <c r="N116" s="617">
        <v>113.06</v>
      </c>
      <c r="O116" s="615">
        <v>0.996</v>
      </c>
      <c r="P116" s="616">
        <v>9935186</v>
      </c>
      <c r="Q116" s="616">
        <v>9895445</v>
      </c>
    </row>
    <row r="117" spans="1:17" ht="30">
      <c r="A117" s="630">
        <v>74</v>
      </c>
      <c r="B117" s="631" t="s">
        <v>1092</v>
      </c>
      <c r="C117" s="638" t="s">
        <v>106</v>
      </c>
      <c r="D117" s="635">
        <v>35</v>
      </c>
      <c r="E117" s="636">
        <v>9.25</v>
      </c>
      <c r="F117" s="636">
        <v>55.75</v>
      </c>
      <c r="G117" s="636">
        <v>0</v>
      </c>
      <c r="H117" s="614">
        <v>100</v>
      </c>
      <c r="I117" s="617">
        <v>103.85</v>
      </c>
      <c r="J117" s="617">
        <v>110.99</v>
      </c>
      <c r="K117" s="617">
        <v>111.56</v>
      </c>
      <c r="L117" s="617">
        <v>103.85</v>
      </c>
      <c r="M117" s="617">
        <v>110.17</v>
      </c>
      <c r="N117" s="617">
        <v>113.06</v>
      </c>
      <c r="O117" s="615">
        <v>0.996</v>
      </c>
      <c r="P117" s="616">
        <v>7451389</v>
      </c>
      <c r="Q117" s="616">
        <v>7421583</v>
      </c>
    </row>
    <row r="118" spans="1:17" ht="30">
      <c r="A118" s="630">
        <v>75</v>
      </c>
      <c r="B118" s="631" t="s">
        <v>1093</v>
      </c>
      <c r="C118" s="638" t="s">
        <v>195</v>
      </c>
      <c r="D118" s="635">
        <v>35</v>
      </c>
      <c r="E118" s="636">
        <v>29.07</v>
      </c>
      <c r="F118" s="636">
        <v>26.8</v>
      </c>
      <c r="G118" s="636">
        <v>9.1300000000000008</v>
      </c>
      <c r="H118" s="614">
        <v>99.999999999999986</v>
      </c>
      <c r="I118" s="617">
        <v>103.85</v>
      </c>
      <c r="J118" s="617">
        <v>110.99</v>
      </c>
      <c r="K118" s="617">
        <v>111.56</v>
      </c>
      <c r="L118" s="617">
        <v>103.85</v>
      </c>
      <c r="M118" s="617">
        <v>110.17</v>
      </c>
      <c r="N118" s="617">
        <v>113.06</v>
      </c>
      <c r="O118" s="615">
        <v>0.999</v>
      </c>
      <c r="P118" s="616">
        <v>3696366</v>
      </c>
      <c r="Q118" s="616">
        <v>3692670</v>
      </c>
    </row>
    <row r="119" spans="1:17">
      <c r="A119" s="630" t="s">
        <v>904</v>
      </c>
      <c r="B119" s="632" t="s">
        <v>1094</v>
      </c>
      <c r="C119" s="639"/>
      <c r="D119" s="610"/>
      <c r="E119" s="611"/>
      <c r="F119" s="613">
        <v>0</v>
      </c>
      <c r="G119" s="613">
        <v>0</v>
      </c>
      <c r="H119" s="614"/>
      <c r="I119" s="617"/>
      <c r="J119" s="617"/>
      <c r="K119" s="617"/>
      <c r="L119" s="617"/>
      <c r="M119" s="617"/>
      <c r="N119" s="617"/>
      <c r="O119" s="615"/>
      <c r="P119" s="616">
        <v>0</v>
      </c>
      <c r="Q119" s="616">
        <v>0</v>
      </c>
    </row>
    <row r="120" spans="1:17" ht="45">
      <c r="A120" s="630">
        <v>76</v>
      </c>
      <c r="B120" s="631" t="s">
        <v>1095</v>
      </c>
      <c r="C120" s="638" t="s">
        <v>273</v>
      </c>
      <c r="D120" s="635">
        <v>35</v>
      </c>
      <c r="E120" s="611">
        <v>0</v>
      </c>
      <c r="F120" s="613">
        <v>0</v>
      </c>
      <c r="G120" s="613">
        <v>65</v>
      </c>
      <c r="H120" s="614"/>
      <c r="I120" s="617">
        <v>103.85</v>
      </c>
      <c r="J120" s="617">
        <v>110.99</v>
      </c>
      <c r="K120" s="617">
        <v>111.56</v>
      </c>
      <c r="L120" s="617">
        <v>103.85</v>
      </c>
      <c r="M120" s="617">
        <v>110.17</v>
      </c>
      <c r="N120" s="617">
        <v>113.06</v>
      </c>
      <c r="O120" s="615">
        <v>1.0089999999999999</v>
      </c>
      <c r="P120" s="616">
        <v>18497</v>
      </c>
      <c r="Q120" s="616">
        <v>18663</v>
      </c>
    </row>
    <row r="121" spans="1:17" ht="30">
      <c r="A121" s="630">
        <v>77</v>
      </c>
      <c r="B121" s="631" t="s">
        <v>1084</v>
      </c>
      <c r="C121" s="638" t="s">
        <v>106</v>
      </c>
      <c r="D121" s="635">
        <v>35</v>
      </c>
      <c r="E121" s="611">
        <v>7.04</v>
      </c>
      <c r="F121" s="613">
        <v>57.96</v>
      </c>
      <c r="G121" s="613">
        <v>0</v>
      </c>
      <c r="H121" s="614">
        <v>100</v>
      </c>
      <c r="I121" s="617">
        <v>103.85</v>
      </c>
      <c r="J121" s="617">
        <v>110.99</v>
      </c>
      <c r="K121" s="617">
        <v>111.56</v>
      </c>
      <c r="L121" s="617">
        <v>103.85</v>
      </c>
      <c r="M121" s="617">
        <v>110.17</v>
      </c>
      <c r="N121" s="617">
        <v>113.06</v>
      </c>
      <c r="O121" s="615">
        <v>0.996</v>
      </c>
      <c r="P121" s="616">
        <v>34737326</v>
      </c>
      <c r="Q121" s="616">
        <v>34598377</v>
      </c>
    </row>
    <row r="122" spans="1:17" ht="30">
      <c r="A122" s="630">
        <v>78</v>
      </c>
      <c r="B122" s="631" t="s">
        <v>1085</v>
      </c>
      <c r="C122" s="638" t="s">
        <v>106</v>
      </c>
      <c r="D122" s="635">
        <v>35</v>
      </c>
      <c r="E122" s="611">
        <v>7.04</v>
      </c>
      <c r="F122" s="613">
        <v>57.96</v>
      </c>
      <c r="G122" s="613">
        <v>0</v>
      </c>
      <c r="H122" s="614">
        <v>100</v>
      </c>
      <c r="I122" s="617">
        <v>103.85</v>
      </c>
      <c r="J122" s="617">
        <v>110.99</v>
      </c>
      <c r="K122" s="617">
        <v>111.56</v>
      </c>
      <c r="L122" s="617">
        <v>103.85</v>
      </c>
      <c r="M122" s="617">
        <v>110.17</v>
      </c>
      <c r="N122" s="617">
        <v>113.06</v>
      </c>
      <c r="O122" s="615">
        <v>0.996</v>
      </c>
      <c r="P122" s="616">
        <v>26052994</v>
      </c>
      <c r="Q122" s="616">
        <v>25948782</v>
      </c>
    </row>
    <row r="123" spans="1:17" ht="45">
      <c r="A123" s="630">
        <v>79</v>
      </c>
      <c r="B123" s="631" t="s">
        <v>1096</v>
      </c>
      <c r="C123" s="638" t="s">
        <v>273</v>
      </c>
      <c r="D123" s="635">
        <v>35</v>
      </c>
      <c r="E123" s="611">
        <v>0</v>
      </c>
      <c r="F123" s="613">
        <v>0</v>
      </c>
      <c r="G123" s="613">
        <v>65</v>
      </c>
      <c r="H123" s="614">
        <v>100</v>
      </c>
      <c r="I123" s="617">
        <v>103.85</v>
      </c>
      <c r="J123" s="617">
        <v>110.99</v>
      </c>
      <c r="K123" s="617">
        <v>111.56</v>
      </c>
      <c r="L123" s="617">
        <v>103.85</v>
      </c>
      <c r="M123" s="617">
        <v>110.17</v>
      </c>
      <c r="N123" s="617">
        <v>113.06</v>
      </c>
      <c r="O123" s="615">
        <v>1.0089999999999999</v>
      </c>
      <c r="P123" s="616">
        <v>18497</v>
      </c>
      <c r="Q123" s="616">
        <v>18663</v>
      </c>
    </row>
    <row r="124" spans="1:17" ht="30">
      <c r="A124" s="630">
        <v>80</v>
      </c>
      <c r="B124" s="631" t="s">
        <v>1091</v>
      </c>
      <c r="C124" s="638" t="s">
        <v>106</v>
      </c>
      <c r="D124" s="635">
        <v>35</v>
      </c>
      <c r="E124" s="611">
        <v>9.25</v>
      </c>
      <c r="F124" s="613">
        <v>55.75</v>
      </c>
      <c r="G124" s="613">
        <v>0</v>
      </c>
      <c r="H124" s="614">
        <v>100</v>
      </c>
      <c r="I124" s="617">
        <v>103.85</v>
      </c>
      <c r="J124" s="617">
        <v>110.99</v>
      </c>
      <c r="K124" s="617">
        <v>111.56</v>
      </c>
      <c r="L124" s="617">
        <v>103.85</v>
      </c>
      <c r="M124" s="617">
        <v>110.17</v>
      </c>
      <c r="N124" s="617">
        <v>113.06</v>
      </c>
      <c r="O124" s="615">
        <v>0.996</v>
      </c>
      <c r="P124" s="616">
        <v>9935186</v>
      </c>
      <c r="Q124" s="616">
        <v>9895445</v>
      </c>
    </row>
    <row r="125" spans="1:17" ht="30">
      <c r="A125" s="630">
        <v>81</v>
      </c>
      <c r="B125" s="631" t="s">
        <v>1092</v>
      </c>
      <c r="C125" s="638" t="s">
        <v>106</v>
      </c>
      <c r="D125" s="635">
        <v>35</v>
      </c>
      <c r="E125" s="611">
        <v>9.25</v>
      </c>
      <c r="F125" s="613">
        <v>55.75</v>
      </c>
      <c r="G125" s="613">
        <v>0</v>
      </c>
      <c r="H125" s="614">
        <v>100</v>
      </c>
      <c r="I125" s="617">
        <v>103.85</v>
      </c>
      <c r="J125" s="617">
        <v>110.99</v>
      </c>
      <c r="K125" s="617">
        <v>111.56</v>
      </c>
      <c r="L125" s="617">
        <v>103.85</v>
      </c>
      <c r="M125" s="617">
        <v>110.17</v>
      </c>
      <c r="N125" s="617">
        <v>113.06</v>
      </c>
      <c r="O125" s="615">
        <v>0.996</v>
      </c>
      <c r="P125" s="616">
        <v>7451389</v>
      </c>
      <c r="Q125" s="616">
        <v>7421583</v>
      </c>
    </row>
    <row r="126" spans="1:17">
      <c r="A126" s="630">
        <v>82</v>
      </c>
      <c r="B126" s="631" t="s">
        <v>1097</v>
      </c>
      <c r="C126" s="638" t="s">
        <v>195</v>
      </c>
      <c r="D126" s="635">
        <v>35</v>
      </c>
      <c r="E126" s="611">
        <v>41.13</v>
      </c>
      <c r="F126" s="613">
        <v>17.100000000000001</v>
      </c>
      <c r="G126" s="613">
        <v>6.77</v>
      </c>
      <c r="H126" s="614">
        <v>99.999999999999986</v>
      </c>
      <c r="I126" s="617">
        <v>103.85</v>
      </c>
      <c r="J126" s="617">
        <v>110.99</v>
      </c>
      <c r="K126" s="617">
        <v>111.56</v>
      </c>
      <c r="L126" s="617">
        <v>103.85</v>
      </c>
      <c r="M126" s="617">
        <v>110.17</v>
      </c>
      <c r="N126" s="617">
        <v>113.06</v>
      </c>
      <c r="O126" s="615">
        <v>1</v>
      </c>
      <c r="P126" s="616">
        <v>10392850</v>
      </c>
      <c r="Q126" s="616">
        <v>10392850</v>
      </c>
    </row>
    <row r="127" spans="1:17">
      <c r="A127" s="630">
        <v>83</v>
      </c>
      <c r="B127" s="631" t="s">
        <v>1098</v>
      </c>
      <c r="C127" s="638" t="s">
        <v>195</v>
      </c>
      <c r="D127" s="635">
        <v>35</v>
      </c>
      <c r="E127" s="611">
        <v>30.11</v>
      </c>
      <c r="F127" s="613">
        <v>27.76</v>
      </c>
      <c r="G127" s="613">
        <v>7.13</v>
      </c>
      <c r="H127" s="614"/>
      <c r="I127" s="617">
        <v>103.85</v>
      </c>
      <c r="J127" s="617">
        <v>110.99</v>
      </c>
      <c r="K127" s="617">
        <v>111.56</v>
      </c>
      <c r="L127" s="617">
        <v>103.85</v>
      </c>
      <c r="M127" s="617">
        <v>110.17</v>
      </c>
      <c r="N127" s="617">
        <v>113.06</v>
      </c>
      <c r="O127" s="615">
        <v>0.999</v>
      </c>
      <c r="P127" s="616">
        <v>6160609</v>
      </c>
      <c r="Q127" s="616">
        <v>6154448</v>
      </c>
    </row>
    <row r="128" spans="1:17">
      <c r="A128" s="630">
        <v>84</v>
      </c>
      <c r="B128" s="631" t="s">
        <v>1099</v>
      </c>
      <c r="C128" s="638" t="s">
        <v>195</v>
      </c>
      <c r="D128" s="635">
        <v>35</v>
      </c>
      <c r="E128" s="611">
        <v>30.11</v>
      </c>
      <c r="F128" s="613">
        <v>27.76</v>
      </c>
      <c r="G128" s="613">
        <v>7.13</v>
      </c>
      <c r="H128" s="614">
        <v>100</v>
      </c>
      <c r="I128" s="617">
        <v>103.85</v>
      </c>
      <c r="J128" s="617">
        <v>110.99</v>
      </c>
      <c r="K128" s="617">
        <v>111.56</v>
      </c>
      <c r="L128" s="617">
        <v>103.85</v>
      </c>
      <c r="M128" s="617">
        <v>110.17</v>
      </c>
      <c r="N128" s="617">
        <v>113.06</v>
      </c>
      <c r="O128" s="615">
        <v>0.999</v>
      </c>
      <c r="P128" s="616">
        <v>3696366</v>
      </c>
      <c r="Q128" s="616">
        <v>3692670</v>
      </c>
    </row>
    <row r="129" spans="1:24">
      <c r="A129" s="630" t="s">
        <v>906</v>
      </c>
      <c r="B129" s="631" t="s">
        <v>1100</v>
      </c>
      <c r="C129" s="638"/>
      <c r="D129" s="610"/>
      <c r="E129" s="611"/>
      <c r="F129" s="613"/>
      <c r="G129" s="613"/>
      <c r="H129" s="614"/>
      <c r="I129" s="617"/>
      <c r="J129" s="617"/>
      <c r="K129" s="617"/>
      <c r="L129" s="617"/>
      <c r="M129" s="617"/>
      <c r="N129" s="617"/>
      <c r="O129" s="615"/>
      <c r="P129" s="616">
        <v>0</v>
      </c>
      <c r="Q129" s="616">
        <v>0</v>
      </c>
    </row>
    <row r="130" spans="1:24">
      <c r="A130" s="630">
        <v>85</v>
      </c>
      <c r="B130" s="631" t="s">
        <v>1101</v>
      </c>
      <c r="C130" s="638" t="s">
        <v>70</v>
      </c>
      <c r="D130" s="635">
        <v>35</v>
      </c>
      <c r="E130" s="611">
        <v>39.36</v>
      </c>
      <c r="F130" s="613">
        <v>25.64</v>
      </c>
      <c r="G130" s="613">
        <v>0</v>
      </c>
      <c r="H130" s="614">
        <v>100</v>
      </c>
      <c r="I130" s="617">
        <v>103.85</v>
      </c>
      <c r="J130" s="617">
        <v>110.99</v>
      </c>
      <c r="K130" s="617">
        <v>111.56</v>
      </c>
      <c r="L130" s="617">
        <v>103.85</v>
      </c>
      <c r="M130" s="617">
        <v>110.17</v>
      </c>
      <c r="N130" s="617">
        <v>113.06</v>
      </c>
      <c r="O130" s="615">
        <v>0.998</v>
      </c>
      <c r="P130" s="616">
        <v>3623018</v>
      </c>
      <c r="Q130" s="616">
        <v>3615772</v>
      </c>
    </row>
    <row r="131" spans="1:24" ht="30">
      <c r="A131" s="630">
        <v>86</v>
      </c>
      <c r="B131" s="631" t="s">
        <v>1102</v>
      </c>
      <c r="C131" s="638" t="s">
        <v>70</v>
      </c>
      <c r="D131" s="635">
        <v>35</v>
      </c>
      <c r="E131" s="611">
        <v>3.73</v>
      </c>
      <c r="F131" s="613">
        <v>2.92</v>
      </c>
      <c r="G131" s="613">
        <v>58.35</v>
      </c>
      <c r="H131" s="614">
        <v>100</v>
      </c>
      <c r="I131" s="617">
        <v>103.85</v>
      </c>
      <c r="J131" s="617">
        <v>110.99</v>
      </c>
      <c r="K131" s="617">
        <v>111.56</v>
      </c>
      <c r="L131" s="617">
        <v>103.85</v>
      </c>
      <c r="M131" s="617">
        <v>110.17</v>
      </c>
      <c r="N131" s="617">
        <v>113.06</v>
      </c>
      <c r="O131" s="615">
        <v>1.008</v>
      </c>
      <c r="P131" s="616">
        <v>15804808</v>
      </c>
      <c r="Q131" s="616">
        <v>15931246</v>
      </c>
    </row>
    <row r="132" spans="1:24">
      <c r="A132" s="630">
        <v>87</v>
      </c>
      <c r="B132" s="631" t="s">
        <v>1103</v>
      </c>
      <c r="C132" s="638" t="s">
        <v>88</v>
      </c>
      <c r="D132" s="635">
        <v>35</v>
      </c>
      <c r="E132" s="611">
        <v>60.22</v>
      </c>
      <c r="F132" s="613">
        <v>2.35</v>
      </c>
      <c r="G132" s="613">
        <v>2.4300000000000002</v>
      </c>
      <c r="H132" s="614">
        <v>100</v>
      </c>
      <c r="I132" s="617">
        <v>103.85</v>
      </c>
      <c r="J132" s="617">
        <v>110.99</v>
      </c>
      <c r="K132" s="617">
        <v>111.56</v>
      </c>
      <c r="L132" s="617">
        <v>103.85</v>
      </c>
      <c r="M132" s="617">
        <v>110.17</v>
      </c>
      <c r="N132" s="617">
        <v>113.06</v>
      </c>
      <c r="O132" s="615">
        <v>1</v>
      </c>
      <c r="P132" s="616">
        <v>57428</v>
      </c>
      <c r="Q132" s="616">
        <v>57428</v>
      </c>
    </row>
    <row r="133" spans="1:24">
      <c r="A133" s="637" t="s">
        <v>1104</v>
      </c>
      <c r="B133" s="634"/>
      <c r="C133" s="640"/>
      <c r="D133" s="610"/>
      <c r="E133" s="611"/>
      <c r="F133" s="613"/>
      <c r="G133" s="613"/>
      <c r="H133" s="614"/>
      <c r="I133" s="617"/>
      <c r="J133" s="617"/>
      <c r="K133" s="617"/>
      <c r="L133" s="617"/>
      <c r="M133" s="617"/>
      <c r="N133" s="617"/>
      <c r="O133" s="615"/>
      <c r="P133" s="616"/>
      <c r="Q133" s="616">
        <v>0</v>
      </c>
    </row>
    <row r="134" spans="1:24" ht="30">
      <c r="A134" s="630">
        <v>192</v>
      </c>
      <c r="B134" s="631" t="s">
        <v>1105</v>
      </c>
      <c r="C134" s="638" t="s">
        <v>67</v>
      </c>
      <c r="D134" s="635">
        <v>35</v>
      </c>
      <c r="E134" s="611">
        <v>2.19</v>
      </c>
      <c r="F134" s="613">
        <v>40.94</v>
      </c>
      <c r="G134" s="613">
        <v>21.87</v>
      </c>
      <c r="H134" s="614">
        <v>100</v>
      </c>
      <c r="I134" s="617">
        <v>103.85</v>
      </c>
      <c r="J134" s="617">
        <v>110.99</v>
      </c>
      <c r="K134" s="617">
        <v>124.36</v>
      </c>
      <c r="L134" s="617">
        <v>103.85</v>
      </c>
      <c r="M134" s="617">
        <v>110.17</v>
      </c>
      <c r="N134" s="617">
        <v>126.51</v>
      </c>
      <c r="O134" s="615">
        <v>1.0009999999999999</v>
      </c>
      <c r="P134" s="616">
        <v>8490393</v>
      </c>
      <c r="Q134" s="616">
        <v>8498883</v>
      </c>
    </row>
    <row r="135" spans="1:24">
      <c r="A135" s="630">
        <v>193</v>
      </c>
      <c r="B135" s="631" t="s">
        <v>1106</v>
      </c>
      <c r="C135" s="638" t="s">
        <v>1109</v>
      </c>
      <c r="D135" s="635">
        <v>35</v>
      </c>
      <c r="E135" s="611">
        <v>20.76</v>
      </c>
      <c r="F135" s="613">
        <v>0.55000000000000004</v>
      </c>
      <c r="G135" s="613">
        <v>43.69</v>
      </c>
      <c r="H135" s="614">
        <v>100</v>
      </c>
      <c r="I135" s="617">
        <v>103.85</v>
      </c>
      <c r="J135" s="617">
        <v>110.99</v>
      </c>
      <c r="K135" s="617">
        <v>124.36</v>
      </c>
      <c r="L135" s="617">
        <v>103.85</v>
      </c>
      <c r="M135" s="617">
        <v>110.17</v>
      </c>
      <c r="N135" s="617">
        <v>126.51</v>
      </c>
      <c r="O135" s="615">
        <v>1.008</v>
      </c>
      <c r="P135" s="616">
        <v>3920018</v>
      </c>
      <c r="Q135" s="616">
        <v>3951378</v>
      </c>
    </row>
    <row r="136" spans="1:24">
      <c r="A136" s="630">
        <v>194</v>
      </c>
      <c r="B136" s="631" t="s">
        <v>1107</v>
      </c>
      <c r="C136" s="638" t="s">
        <v>1109</v>
      </c>
      <c r="D136" s="635">
        <v>35</v>
      </c>
      <c r="E136" s="611">
        <v>21.37</v>
      </c>
      <c r="F136" s="613">
        <v>0.53</v>
      </c>
      <c r="G136" s="613">
        <v>43.1</v>
      </c>
      <c r="H136" s="614"/>
      <c r="I136" s="617">
        <v>103.85</v>
      </c>
      <c r="J136" s="617">
        <v>110.99</v>
      </c>
      <c r="K136" s="617">
        <v>124.36</v>
      </c>
      <c r="L136" s="617">
        <v>103.85</v>
      </c>
      <c r="M136" s="617">
        <v>110.17</v>
      </c>
      <c r="N136" s="617">
        <v>126.51</v>
      </c>
      <c r="O136" s="615">
        <v>1.0069999999999999</v>
      </c>
      <c r="P136" s="616">
        <v>2081240</v>
      </c>
      <c r="Q136" s="616">
        <v>2095809</v>
      </c>
    </row>
    <row r="138" spans="1:24" s="677" customFormat="1" ht="15">
      <c r="B138" s="714" t="s">
        <v>1169</v>
      </c>
      <c r="C138" s="679"/>
      <c r="D138" s="678"/>
      <c r="E138" s="681"/>
      <c r="G138" s="680"/>
      <c r="I138" s="680"/>
      <c r="K138" s="682"/>
      <c r="L138" s="683"/>
      <c r="O138" s="685" t="s">
        <v>1137</v>
      </c>
      <c r="R138" s="684"/>
      <c r="S138" s="684"/>
      <c r="V138" s="684"/>
      <c r="W138" s="684"/>
      <c r="X138" s="686"/>
    </row>
  </sheetData>
  <mergeCells count="17">
    <mergeCell ref="P38:P39"/>
    <mergeCell ref="Q38:Q39"/>
    <mergeCell ref="R38:R39"/>
    <mergeCell ref="A1:Q1"/>
    <mergeCell ref="A2:Q2"/>
    <mergeCell ref="A3:Q3"/>
    <mergeCell ref="A38:A39"/>
    <mergeCell ref="B38:B39"/>
    <mergeCell ref="C38:C39"/>
    <mergeCell ref="D38:G38"/>
    <mergeCell ref="H38:H39"/>
    <mergeCell ref="B6:P6"/>
    <mergeCell ref="B18:Q18"/>
    <mergeCell ref="B27:Q27"/>
    <mergeCell ref="I38:K38"/>
    <mergeCell ref="L38:N38"/>
    <mergeCell ref="O38:O39"/>
  </mergeCells>
  <conditionalFormatting sqref="A60">
    <cfRule type="expression" dxfId="0" priority="1" stopIfTrue="1">
      <formula>COUNTIF($A$2:$A$41,A60)&gt;1</formula>
    </cfRule>
  </conditionalFormatting>
  <pageMargins left="0.59055118110236227" right="0.31496062992125984" top="0.6692913385826772" bottom="0.31496062992125984" header="0.19685039370078741" footer="0.11811023622047245"/>
  <pageSetup paperSize="9" orientation="landscape" r:id="rId1"/>
  <headerFooter>
    <oddFooter>&amp;R&amp;P</oddFooter>
  </headerFooter>
  <legacyDrawing r:id="rId2"/>
  <oleObjects>
    <oleObject progId="Equation.3" shapeId="2050" r:id="rId3"/>
  </oleObjects>
</worksheet>
</file>

<file path=xl/worksheets/sheet21.xml><?xml version="1.0" encoding="utf-8"?>
<worksheet xmlns="http://schemas.openxmlformats.org/spreadsheetml/2006/main" xmlns:r="http://schemas.openxmlformats.org/officeDocument/2006/relationships">
  <dimension ref="A1:X20"/>
  <sheetViews>
    <sheetView view="pageBreakPreview" zoomScaleSheetLayoutView="100" workbookViewId="0">
      <selection activeCell="E6" sqref="E6:E10"/>
    </sheetView>
  </sheetViews>
  <sheetFormatPr defaultRowHeight="15.75"/>
  <cols>
    <col min="1" max="1" width="6.140625" style="696" customWidth="1"/>
    <col min="2" max="2" width="58.28515625" style="696" customWidth="1"/>
    <col min="3" max="3" width="16.7109375" style="696" customWidth="1"/>
    <col min="4" max="4" width="16.140625" style="696" customWidth="1"/>
    <col min="5" max="5" width="20.85546875" style="696" customWidth="1"/>
    <col min="6" max="6" width="21.28515625" style="696" customWidth="1"/>
    <col min="7" max="7" width="12.42578125" style="696" bestFit="1" customWidth="1"/>
    <col min="8" max="8" width="9.140625" style="696"/>
    <col min="9" max="9" width="16.7109375" style="696" customWidth="1"/>
    <col min="10" max="256" width="9.140625" style="696"/>
    <col min="257" max="257" width="6.140625" style="696" customWidth="1"/>
    <col min="258" max="258" width="54.5703125" style="696" customWidth="1"/>
    <col min="259" max="259" width="20" style="696" bestFit="1" customWidth="1"/>
    <col min="260" max="260" width="19.140625" style="696" bestFit="1" customWidth="1"/>
    <col min="261" max="261" width="14.5703125" style="696" customWidth="1"/>
    <col min="262" max="262" width="19.42578125" style="696" customWidth="1"/>
    <col min="263" max="263" width="12.42578125" style="696" bestFit="1" customWidth="1"/>
    <col min="264" max="264" width="9.140625" style="696"/>
    <col min="265" max="265" width="16.7109375" style="696" customWidth="1"/>
    <col min="266" max="512" width="9.140625" style="696"/>
    <col min="513" max="513" width="6.140625" style="696" customWidth="1"/>
    <col min="514" max="514" width="54.5703125" style="696" customWidth="1"/>
    <col min="515" max="515" width="20" style="696" bestFit="1" customWidth="1"/>
    <col min="516" max="516" width="19.140625" style="696" bestFit="1" customWidth="1"/>
    <col min="517" max="517" width="14.5703125" style="696" customWidth="1"/>
    <col min="518" max="518" width="19.42578125" style="696" customWidth="1"/>
    <col min="519" max="519" width="12.42578125" style="696" bestFit="1" customWidth="1"/>
    <col min="520" max="520" width="9.140625" style="696"/>
    <col min="521" max="521" width="16.7109375" style="696" customWidth="1"/>
    <col min="522" max="768" width="9.140625" style="696"/>
    <col min="769" max="769" width="6.140625" style="696" customWidth="1"/>
    <col min="770" max="770" width="54.5703125" style="696" customWidth="1"/>
    <col min="771" max="771" width="20" style="696" bestFit="1" customWidth="1"/>
    <col min="772" max="772" width="19.140625" style="696" bestFit="1" customWidth="1"/>
    <col min="773" max="773" width="14.5703125" style="696" customWidth="1"/>
    <col min="774" max="774" width="19.42578125" style="696" customWidth="1"/>
    <col min="775" max="775" width="12.42578125" style="696" bestFit="1" customWidth="1"/>
    <col min="776" max="776" width="9.140625" style="696"/>
    <col min="777" max="777" width="16.7109375" style="696" customWidth="1"/>
    <col min="778" max="1024" width="9.140625" style="696"/>
    <col min="1025" max="1025" width="6.140625" style="696" customWidth="1"/>
    <col min="1026" max="1026" width="54.5703125" style="696" customWidth="1"/>
    <col min="1027" max="1027" width="20" style="696" bestFit="1" customWidth="1"/>
    <col min="1028" max="1028" width="19.140625" style="696" bestFit="1" customWidth="1"/>
    <col min="1029" max="1029" width="14.5703125" style="696" customWidth="1"/>
    <col min="1030" max="1030" width="19.42578125" style="696" customWidth="1"/>
    <col min="1031" max="1031" width="12.42578125" style="696" bestFit="1" customWidth="1"/>
    <col min="1032" max="1032" width="9.140625" style="696"/>
    <col min="1033" max="1033" width="16.7109375" style="696" customWidth="1"/>
    <col min="1034" max="1280" width="9.140625" style="696"/>
    <col min="1281" max="1281" width="6.140625" style="696" customWidth="1"/>
    <col min="1282" max="1282" width="54.5703125" style="696" customWidth="1"/>
    <col min="1283" max="1283" width="20" style="696" bestFit="1" customWidth="1"/>
    <col min="1284" max="1284" width="19.140625" style="696" bestFit="1" customWidth="1"/>
    <col min="1285" max="1285" width="14.5703125" style="696" customWidth="1"/>
    <col min="1286" max="1286" width="19.42578125" style="696" customWidth="1"/>
    <col min="1287" max="1287" width="12.42578125" style="696" bestFit="1" customWidth="1"/>
    <col min="1288" max="1288" width="9.140625" style="696"/>
    <col min="1289" max="1289" width="16.7109375" style="696" customWidth="1"/>
    <col min="1290" max="1536" width="9.140625" style="696"/>
    <col min="1537" max="1537" width="6.140625" style="696" customWidth="1"/>
    <col min="1538" max="1538" width="54.5703125" style="696" customWidth="1"/>
    <col min="1539" max="1539" width="20" style="696" bestFit="1" customWidth="1"/>
    <col min="1540" max="1540" width="19.140625" style="696" bestFit="1" customWidth="1"/>
    <col min="1541" max="1541" width="14.5703125" style="696" customWidth="1"/>
    <col min="1542" max="1542" width="19.42578125" style="696" customWidth="1"/>
    <col min="1543" max="1543" width="12.42578125" style="696" bestFit="1" customWidth="1"/>
    <col min="1544" max="1544" width="9.140625" style="696"/>
    <col min="1545" max="1545" width="16.7109375" style="696" customWidth="1"/>
    <col min="1546" max="1792" width="9.140625" style="696"/>
    <col min="1793" max="1793" width="6.140625" style="696" customWidth="1"/>
    <col min="1794" max="1794" width="54.5703125" style="696" customWidth="1"/>
    <col min="1795" max="1795" width="20" style="696" bestFit="1" customWidth="1"/>
    <col min="1796" max="1796" width="19.140625" style="696" bestFit="1" customWidth="1"/>
    <col min="1797" max="1797" width="14.5703125" style="696" customWidth="1"/>
    <col min="1798" max="1798" width="19.42578125" style="696" customWidth="1"/>
    <col min="1799" max="1799" width="12.42578125" style="696" bestFit="1" customWidth="1"/>
    <col min="1800" max="1800" width="9.140625" style="696"/>
    <col min="1801" max="1801" width="16.7109375" style="696" customWidth="1"/>
    <col min="1802" max="2048" width="9.140625" style="696"/>
    <col min="2049" max="2049" width="6.140625" style="696" customWidth="1"/>
    <col min="2050" max="2050" width="54.5703125" style="696" customWidth="1"/>
    <col min="2051" max="2051" width="20" style="696" bestFit="1" customWidth="1"/>
    <col min="2052" max="2052" width="19.140625" style="696" bestFit="1" customWidth="1"/>
    <col min="2053" max="2053" width="14.5703125" style="696" customWidth="1"/>
    <col min="2054" max="2054" width="19.42578125" style="696" customWidth="1"/>
    <col min="2055" max="2055" width="12.42578125" style="696" bestFit="1" customWidth="1"/>
    <col min="2056" max="2056" width="9.140625" style="696"/>
    <col min="2057" max="2057" width="16.7109375" style="696" customWidth="1"/>
    <col min="2058" max="2304" width="9.140625" style="696"/>
    <col min="2305" max="2305" width="6.140625" style="696" customWidth="1"/>
    <col min="2306" max="2306" width="54.5703125" style="696" customWidth="1"/>
    <col min="2307" max="2307" width="20" style="696" bestFit="1" customWidth="1"/>
    <col min="2308" max="2308" width="19.140625" style="696" bestFit="1" customWidth="1"/>
    <col min="2309" max="2309" width="14.5703125" style="696" customWidth="1"/>
    <col min="2310" max="2310" width="19.42578125" style="696" customWidth="1"/>
    <col min="2311" max="2311" width="12.42578125" style="696" bestFit="1" customWidth="1"/>
    <col min="2312" max="2312" width="9.140625" style="696"/>
    <col min="2313" max="2313" width="16.7109375" style="696" customWidth="1"/>
    <col min="2314" max="2560" width="9.140625" style="696"/>
    <col min="2561" max="2561" width="6.140625" style="696" customWidth="1"/>
    <col min="2562" max="2562" width="54.5703125" style="696" customWidth="1"/>
    <col min="2563" max="2563" width="20" style="696" bestFit="1" customWidth="1"/>
    <col min="2564" max="2564" width="19.140625" style="696" bestFit="1" customWidth="1"/>
    <col min="2565" max="2565" width="14.5703125" style="696" customWidth="1"/>
    <col min="2566" max="2566" width="19.42578125" style="696" customWidth="1"/>
    <col min="2567" max="2567" width="12.42578125" style="696" bestFit="1" customWidth="1"/>
    <col min="2568" max="2568" width="9.140625" style="696"/>
    <col min="2569" max="2569" width="16.7109375" style="696" customWidth="1"/>
    <col min="2570" max="2816" width="9.140625" style="696"/>
    <col min="2817" max="2817" width="6.140625" style="696" customWidth="1"/>
    <col min="2818" max="2818" width="54.5703125" style="696" customWidth="1"/>
    <col min="2819" max="2819" width="20" style="696" bestFit="1" customWidth="1"/>
    <col min="2820" max="2820" width="19.140625" style="696" bestFit="1" customWidth="1"/>
    <col min="2821" max="2821" width="14.5703125" style="696" customWidth="1"/>
    <col min="2822" max="2822" width="19.42578125" style="696" customWidth="1"/>
    <col min="2823" max="2823" width="12.42578125" style="696" bestFit="1" customWidth="1"/>
    <col min="2824" max="2824" width="9.140625" style="696"/>
    <col min="2825" max="2825" width="16.7109375" style="696" customWidth="1"/>
    <col min="2826" max="3072" width="9.140625" style="696"/>
    <col min="3073" max="3073" width="6.140625" style="696" customWidth="1"/>
    <col min="3074" max="3074" width="54.5703125" style="696" customWidth="1"/>
    <col min="3075" max="3075" width="20" style="696" bestFit="1" customWidth="1"/>
    <col min="3076" max="3076" width="19.140625" style="696" bestFit="1" customWidth="1"/>
    <col min="3077" max="3077" width="14.5703125" style="696" customWidth="1"/>
    <col min="3078" max="3078" width="19.42578125" style="696" customWidth="1"/>
    <col min="3079" max="3079" width="12.42578125" style="696" bestFit="1" customWidth="1"/>
    <col min="3080" max="3080" width="9.140625" style="696"/>
    <col min="3081" max="3081" width="16.7109375" style="696" customWidth="1"/>
    <col min="3082" max="3328" width="9.140625" style="696"/>
    <col min="3329" max="3329" width="6.140625" style="696" customWidth="1"/>
    <col min="3330" max="3330" width="54.5703125" style="696" customWidth="1"/>
    <col min="3331" max="3331" width="20" style="696" bestFit="1" customWidth="1"/>
    <col min="3332" max="3332" width="19.140625" style="696" bestFit="1" customWidth="1"/>
    <col min="3333" max="3333" width="14.5703125" style="696" customWidth="1"/>
    <col min="3334" max="3334" width="19.42578125" style="696" customWidth="1"/>
    <col min="3335" max="3335" width="12.42578125" style="696" bestFit="1" customWidth="1"/>
    <col min="3336" max="3336" width="9.140625" style="696"/>
    <col min="3337" max="3337" width="16.7109375" style="696" customWidth="1"/>
    <col min="3338" max="3584" width="9.140625" style="696"/>
    <col min="3585" max="3585" width="6.140625" style="696" customWidth="1"/>
    <col min="3586" max="3586" width="54.5703125" style="696" customWidth="1"/>
    <col min="3587" max="3587" width="20" style="696" bestFit="1" customWidth="1"/>
    <col min="3588" max="3588" width="19.140625" style="696" bestFit="1" customWidth="1"/>
    <col min="3589" max="3589" width="14.5703125" style="696" customWidth="1"/>
    <col min="3590" max="3590" width="19.42578125" style="696" customWidth="1"/>
    <col min="3591" max="3591" width="12.42578125" style="696" bestFit="1" customWidth="1"/>
    <col min="3592" max="3592" width="9.140625" style="696"/>
    <col min="3593" max="3593" width="16.7109375" style="696" customWidth="1"/>
    <col min="3594" max="3840" width="9.140625" style="696"/>
    <col min="3841" max="3841" width="6.140625" style="696" customWidth="1"/>
    <col min="3842" max="3842" width="54.5703125" style="696" customWidth="1"/>
    <col min="3843" max="3843" width="20" style="696" bestFit="1" customWidth="1"/>
    <col min="3844" max="3844" width="19.140625" style="696" bestFit="1" customWidth="1"/>
    <col min="3845" max="3845" width="14.5703125" style="696" customWidth="1"/>
    <col min="3846" max="3846" width="19.42578125" style="696" customWidth="1"/>
    <col min="3847" max="3847" width="12.42578125" style="696" bestFit="1" customWidth="1"/>
    <col min="3848" max="3848" width="9.140625" style="696"/>
    <col min="3849" max="3849" width="16.7109375" style="696" customWidth="1"/>
    <col min="3850" max="4096" width="9.140625" style="696"/>
    <col min="4097" max="4097" width="6.140625" style="696" customWidth="1"/>
    <col min="4098" max="4098" width="54.5703125" style="696" customWidth="1"/>
    <col min="4099" max="4099" width="20" style="696" bestFit="1" customWidth="1"/>
    <col min="4100" max="4100" width="19.140625" style="696" bestFit="1" customWidth="1"/>
    <col min="4101" max="4101" width="14.5703125" style="696" customWidth="1"/>
    <col min="4102" max="4102" width="19.42578125" style="696" customWidth="1"/>
    <col min="4103" max="4103" width="12.42578125" style="696" bestFit="1" customWidth="1"/>
    <col min="4104" max="4104" width="9.140625" style="696"/>
    <col min="4105" max="4105" width="16.7109375" style="696" customWidth="1"/>
    <col min="4106" max="4352" width="9.140625" style="696"/>
    <col min="4353" max="4353" width="6.140625" style="696" customWidth="1"/>
    <col min="4354" max="4354" width="54.5703125" style="696" customWidth="1"/>
    <col min="4355" max="4355" width="20" style="696" bestFit="1" customWidth="1"/>
    <col min="4356" max="4356" width="19.140625" style="696" bestFit="1" customWidth="1"/>
    <col min="4357" max="4357" width="14.5703125" style="696" customWidth="1"/>
    <col min="4358" max="4358" width="19.42578125" style="696" customWidth="1"/>
    <col min="4359" max="4359" width="12.42578125" style="696" bestFit="1" customWidth="1"/>
    <col min="4360" max="4360" width="9.140625" style="696"/>
    <col min="4361" max="4361" width="16.7109375" style="696" customWidth="1"/>
    <col min="4362" max="4608" width="9.140625" style="696"/>
    <col min="4609" max="4609" width="6.140625" style="696" customWidth="1"/>
    <col min="4610" max="4610" width="54.5703125" style="696" customWidth="1"/>
    <col min="4611" max="4611" width="20" style="696" bestFit="1" customWidth="1"/>
    <col min="4612" max="4612" width="19.140625" style="696" bestFit="1" customWidth="1"/>
    <col min="4613" max="4613" width="14.5703125" style="696" customWidth="1"/>
    <col min="4614" max="4614" width="19.42578125" style="696" customWidth="1"/>
    <col min="4615" max="4615" width="12.42578125" style="696" bestFit="1" customWidth="1"/>
    <col min="4616" max="4616" width="9.140625" style="696"/>
    <col min="4617" max="4617" width="16.7109375" style="696" customWidth="1"/>
    <col min="4618" max="4864" width="9.140625" style="696"/>
    <col min="4865" max="4865" width="6.140625" style="696" customWidth="1"/>
    <col min="4866" max="4866" width="54.5703125" style="696" customWidth="1"/>
    <col min="4867" max="4867" width="20" style="696" bestFit="1" customWidth="1"/>
    <col min="4868" max="4868" width="19.140625" style="696" bestFit="1" customWidth="1"/>
    <col min="4869" max="4869" width="14.5703125" style="696" customWidth="1"/>
    <col min="4870" max="4870" width="19.42578125" style="696" customWidth="1"/>
    <col min="4871" max="4871" width="12.42578125" style="696" bestFit="1" customWidth="1"/>
    <col min="4872" max="4872" width="9.140625" style="696"/>
    <col min="4873" max="4873" width="16.7109375" style="696" customWidth="1"/>
    <col min="4874" max="5120" width="9.140625" style="696"/>
    <col min="5121" max="5121" width="6.140625" style="696" customWidth="1"/>
    <col min="5122" max="5122" width="54.5703125" style="696" customWidth="1"/>
    <col min="5123" max="5123" width="20" style="696" bestFit="1" customWidth="1"/>
    <col min="5124" max="5124" width="19.140625" style="696" bestFit="1" customWidth="1"/>
    <col min="5125" max="5125" width="14.5703125" style="696" customWidth="1"/>
    <col min="5126" max="5126" width="19.42578125" style="696" customWidth="1"/>
    <col min="5127" max="5127" width="12.42578125" style="696" bestFit="1" customWidth="1"/>
    <col min="5128" max="5128" width="9.140625" style="696"/>
    <col min="5129" max="5129" width="16.7109375" style="696" customWidth="1"/>
    <col min="5130" max="5376" width="9.140625" style="696"/>
    <col min="5377" max="5377" width="6.140625" style="696" customWidth="1"/>
    <col min="5378" max="5378" width="54.5703125" style="696" customWidth="1"/>
    <col min="5379" max="5379" width="20" style="696" bestFit="1" customWidth="1"/>
    <col min="5380" max="5380" width="19.140625" style="696" bestFit="1" customWidth="1"/>
    <col min="5381" max="5381" width="14.5703125" style="696" customWidth="1"/>
    <col min="5382" max="5382" width="19.42578125" style="696" customWidth="1"/>
    <col min="5383" max="5383" width="12.42578125" style="696" bestFit="1" customWidth="1"/>
    <col min="5384" max="5384" width="9.140625" style="696"/>
    <col min="5385" max="5385" width="16.7109375" style="696" customWidth="1"/>
    <col min="5386" max="5632" width="9.140625" style="696"/>
    <col min="5633" max="5633" width="6.140625" style="696" customWidth="1"/>
    <col min="5634" max="5634" width="54.5703125" style="696" customWidth="1"/>
    <col min="5635" max="5635" width="20" style="696" bestFit="1" customWidth="1"/>
    <col min="5636" max="5636" width="19.140625" style="696" bestFit="1" customWidth="1"/>
    <col min="5637" max="5637" width="14.5703125" style="696" customWidth="1"/>
    <col min="5638" max="5638" width="19.42578125" style="696" customWidth="1"/>
    <col min="5639" max="5639" width="12.42578125" style="696" bestFit="1" customWidth="1"/>
    <col min="5640" max="5640" width="9.140625" style="696"/>
    <col min="5641" max="5641" width="16.7109375" style="696" customWidth="1"/>
    <col min="5642" max="5888" width="9.140625" style="696"/>
    <col min="5889" max="5889" width="6.140625" style="696" customWidth="1"/>
    <col min="5890" max="5890" width="54.5703125" style="696" customWidth="1"/>
    <col min="5891" max="5891" width="20" style="696" bestFit="1" customWidth="1"/>
    <col min="5892" max="5892" width="19.140625" style="696" bestFit="1" customWidth="1"/>
    <col min="5893" max="5893" width="14.5703125" style="696" customWidth="1"/>
    <col min="5894" max="5894" width="19.42578125" style="696" customWidth="1"/>
    <col min="5895" max="5895" width="12.42578125" style="696" bestFit="1" customWidth="1"/>
    <col min="5896" max="5896" width="9.140625" style="696"/>
    <col min="5897" max="5897" width="16.7109375" style="696" customWidth="1"/>
    <col min="5898" max="6144" width="9.140625" style="696"/>
    <col min="6145" max="6145" width="6.140625" style="696" customWidth="1"/>
    <col min="6146" max="6146" width="54.5703125" style="696" customWidth="1"/>
    <col min="6147" max="6147" width="20" style="696" bestFit="1" customWidth="1"/>
    <col min="6148" max="6148" width="19.140625" style="696" bestFit="1" customWidth="1"/>
    <col min="6149" max="6149" width="14.5703125" style="696" customWidth="1"/>
    <col min="6150" max="6150" width="19.42578125" style="696" customWidth="1"/>
    <col min="6151" max="6151" width="12.42578125" style="696" bestFit="1" customWidth="1"/>
    <col min="6152" max="6152" width="9.140625" style="696"/>
    <col min="6153" max="6153" width="16.7109375" style="696" customWidth="1"/>
    <col min="6154" max="6400" width="9.140625" style="696"/>
    <col min="6401" max="6401" width="6.140625" style="696" customWidth="1"/>
    <col min="6402" max="6402" width="54.5703125" style="696" customWidth="1"/>
    <col min="6403" max="6403" width="20" style="696" bestFit="1" customWidth="1"/>
    <col min="6404" max="6404" width="19.140625" style="696" bestFit="1" customWidth="1"/>
    <col min="6405" max="6405" width="14.5703125" style="696" customWidth="1"/>
    <col min="6406" max="6406" width="19.42578125" style="696" customWidth="1"/>
    <col min="6407" max="6407" width="12.42578125" style="696" bestFit="1" customWidth="1"/>
    <col min="6408" max="6408" width="9.140625" style="696"/>
    <col min="6409" max="6409" width="16.7109375" style="696" customWidth="1"/>
    <col min="6410" max="6656" width="9.140625" style="696"/>
    <col min="6657" max="6657" width="6.140625" style="696" customWidth="1"/>
    <col min="6658" max="6658" width="54.5703125" style="696" customWidth="1"/>
    <col min="6659" max="6659" width="20" style="696" bestFit="1" customWidth="1"/>
    <col min="6660" max="6660" width="19.140625" style="696" bestFit="1" customWidth="1"/>
    <col min="6661" max="6661" width="14.5703125" style="696" customWidth="1"/>
    <col min="6662" max="6662" width="19.42578125" style="696" customWidth="1"/>
    <col min="6663" max="6663" width="12.42578125" style="696" bestFit="1" customWidth="1"/>
    <col min="6664" max="6664" width="9.140625" style="696"/>
    <col min="6665" max="6665" width="16.7109375" style="696" customWidth="1"/>
    <col min="6666" max="6912" width="9.140625" style="696"/>
    <col min="6913" max="6913" width="6.140625" style="696" customWidth="1"/>
    <col min="6914" max="6914" width="54.5703125" style="696" customWidth="1"/>
    <col min="6915" max="6915" width="20" style="696" bestFit="1" customWidth="1"/>
    <col min="6916" max="6916" width="19.140625" style="696" bestFit="1" customWidth="1"/>
    <col min="6917" max="6917" width="14.5703125" style="696" customWidth="1"/>
    <col min="6918" max="6918" width="19.42578125" style="696" customWidth="1"/>
    <col min="6919" max="6919" width="12.42578125" style="696" bestFit="1" customWidth="1"/>
    <col min="6920" max="6920" width="9.140625" style="696"/>
    <col min="6921" max="6921" width="16.7109375" style="696" customWidth="1"/>
    <col min="6922" max="7168" width="9.140625" style="696"/>
    <col min="7169" max="7169" width="6.140625" style="696" customWidth="1"/>
    <col min="7170" max="7170" width="54.5703125" style="696" customWidth="1"/>
    <col min="7171" max="7171" width="20" style="696" bestFit="1" customWidth="1"/>
    <col min="7172" max="7172" width="19.140625" style="696" bestFit="1" customWidth="1"/>
    <col min="7173" max="7173" width="14.5703125" style="696" customWidth="1"/>
    <col min="7174" max="7174" width="19.42578125" style="696" customWidth="1"/>
    <col min="7175" max="7175" width="12.42578125" style="696" bestFit="1" customWidth="1"/>
    <col min="7176" max="7176" width="9.140625" style="696"/>
    <col min="7177" max="7177" width="16.7109375" style="696" customWidth="1"/>
    <col min="7178" max="7424" width="9.140625" style="696"/>
    <col min="7425" max="7425" width="6.140625" style="696" customWidth="1"/>
    <col min="7426" max="7426" width="54.5703125" style="696" customWidth="1"/>
    <col min="7427" max="7427" width="20" style="696" bestFit="1" customWidth="1"/>
    <col min="7428" max="7428" width="19.140625" style="696" bestFit="1" customWidth="1"/>
    <col min="7429" max="7429" width="14.5703125" style="696" customWidth="1"/>
    <col min="7430" max="7430" width="19.42578125" style="696" customWidth="1"/>
    <col min="7431" max="7431" width="12.42578125" style="696" bestFit="1" customWidth="1"/>
    <col min="7432" max="7432" width="9.140625" style="696"/>
    <col min="7433" max="7433" width="16.7109375" style="696" customWidth="1"/>
    <col min="7434" max="7680" width="9.140625" style="696"/>
    <col min="7681" max="7681" width="6.140625" style="696" customWidth="1"/>
    <col min="7682" max="7682" width="54.5703125" style="696" customWidth="1"/>
    <col min="7683" max="7683" width="20" style="696" bestFit="1" customWidth="1"/>
    <col min="7684" max="7684" width="19.140625" style="696" bestFit="1" customWidth="1"/>
    <col min="7685" max="7685" width="14.5703125" style="696" customWidth="1"/>
    <col min="7686" max="7686" width="19.42578125" style="696" customWidth="1"/>
    <col min="7687" max="7687" width="12.42578125" style="696" bestFit="1" customWidth="1"/>
    <col min="7688" max="7688" width="9.140625" style="696"/>
    <col min="7689" max="7689" width="16.7109375" style="696" customWidth="1"/>
    <col min="7690" max="7936" width="9.140625" style="696"/>
    <col min="7937" max="7937" width="6.140625" style="696" customWidth="1"/>
    <col min="7938" max="7938" width="54.5703125" style="696" customWidth="1"/>
    <col min="7939" max="7939" width="20" style="696" bestFit="1" customWidth="1"/>
    <col min="7940" max="7940" width="19.140625" style="696" bestFit="1" customWidth="1"/>
    <col min="7941" max="7941" width="14.5703125" style="696" customWidth="1"/>
    <col min="7942" max="7942" width="19.42578125" style="696" customWidth="1"/>
    <col min="7943" max="7943" width="12.42578125" style="696" bestFit="1" customWidth="1"/>
    <col min="7944" max="7944" width="9.140625" style="696"/>
    <col min="7945" max="7945" width="16.7109375" style="696" customWidth="1"/>
    <col min="7946" max="8192" width="9.140625" style="696"/>
    <col min="8193" max="8193" width="6.140625" style="696" customWidth="1"/>
    <col min="8194" max="8194" width="54.5703125" style="696" customWidth="1"/>
    <col min="8195" max="8195" width="20" style="696" bestFit="1" customWidth="1"/>
    <col min="8196" max="8196" width="19.140625" style="696" bestFit="1" customWidth="1"/>
    <col min="8197" max="8197" width="14.5703125" style="696" customWidth="1"/>
    <col min="8198" max="8198" width="19.42578125" style="696" customWidth="1"/>
    <col min="8199" max="8199" width="12.42578125" style="696" bestFit="1" customWidth="1"/>
    <col min="8200" max="8200" width="9.140625" style="696"/>
    <col min="8201" max="8201" width="16.7109375" style="696" customWidth="1"/>
    <col min="8202" max="8448" width="9.140625" style="696"/>
    <col min="8449" max="8449" width="6.140625" style="696" customWidth="1"/>
    <col min="8450" max="8450" width="54.5703125" style="696" customWidth="1"/>
    <col min="8451" max="8451" width="20" style="696" bestFit="1" customWidth="1"/>
    <col min="8452" max="8452" width="19.140625" style="696" bestFit="1" customWidth="1"/>
    <col min="8453" max="8453" width="14.5703125" style="696" customWidth="1"/>
    <col min="8454" max="8454" width="19.42578125" style="696" customWidth="1"/>
    <col min="8455" max="8455" width="12.42578125" style="696" bestFit="1" customWidth="1"/>
    <col min="8456" max="8456" width="9.140625" style="696"/>
    <col min="8457" max="8457" width="16.7109375" style="696" customWidth="1"/>
    <col min="8458" max="8704" width="9.140625" style="696"/>
    <col min="8705" max="8705" width="6.140625" style="696" customWidth="1"/>
    <col min="8706" max="8706" width="54.5703125" style="696" customWidth="1"/>
    <col min="8707" max="8707" width="20" style="696" bestFit="1" customWidth="1"/>
    <col min="8708" max="8708" width="19.140625" style="696" bestFit="1" customWidth="1"/>
    <col min="8709" max="8709" width="14.5703125" style="696" customWidth="1"/>
    <col min="8710" max="8710" width="19.42578125" style="696" customWidth="1"/>
    <col min="8711" max="8711" width="12.42578125" style="696" bestFit="1" customWidth="1"/>
    <col min="8712" max="8712" width="9.140625" style="696"/>
    <col min="8713" max="8713" width="16.7109375" style="696" customWidth="1"/>
    <col min="8714" max="8960" width="9.140625" style="696"/>
    <col min="8961" max="8961" width="6.140625" style="696" customWidth="1"/>
    <col min="8962" max="8962" width="54.5703125" style="696" customWidth="1"/>
    <col min="8963" max="8963" width="20" style="696" bestFit="1" customWidth="1"/>
    <col min="8964" max="8964" width="19.140625" style="696" bestFit="1" customWidth="1"/>
    <col min="8965" max="8965" width="14.5703125" style="696" customWidth="1"/>
    <col min="8966" max="8966" width="19.42578125" style="696" customWidth="1"/>
    <col min="8967" max="8967" width="12.42578125" style="696" bestFit="1" customWidth="1"/>
    <col min="8968" max="8968" width="9.140625" style="696"/>
    <col min="8969" max="8969" width="16.7109375" style="696" customWidth="1"/>
    <col min="8970" max="9216" width="9.140625" style="696"/>
    <col min="9217" max="9217" width="6.140625" style="696" customWidth="1"/>
    <col min="9218" max="9218" width="54.5703125" style="696" customWidth="1"/>
    <col min="9219" max="9219" width="20" style="696" bestFit="1" customWidth="1"/>
    <col min="9220" max="9220" width="19.140625" style="696" bestFit="1" customWidth="1"/>
    <col min="9221" max="9221" width="14.5703125" style="696" customWidth="1"/>
    <col min="9222" max="9222" width="19.42578125" style="696" customWidth="1"/>
    <col min="9223" max="9223" width="12.42578125" style="696" bestFit="1" customWidth="1"/>
    <col min="9224" max="9224" width="9.140625" style="696"/>
    <col min="9225" max="9225" width="16.7109375" style="696" customWidth="1"/>
    <col min="9226" max="9472" width="9.140625" style="696"/>
    <col min="9473" max="9473" width="6.140625" style="696" customWidth="1"/>
    <col min="9474" max="9474" width="54.5703125" style="696" customWidth="1"/>
    <col min="9475" max="9475" width="20" style="696" bestFit="1" customWidth="1"/>
    <col min="9476" max="9476" width="19.140625" style="696" bestFit="1" customWidth="1"/>
    <col min="9477" max="9477" width="14.5703125" style="696" customWidth="1"/>
    <col min="9478" max="9478" width="19.42578125" style="696" customWidth="1"/>
    <col min="9479" max="9479" width="12.42578125" style="696" bestFit="1" customWidth="1"/>
    <col min="9480" max="9480" width="9.140625" style="696"/>
    <col min="9481" max="9481" width="16.7109375" style="696" customWidth="1"/>
    <col min="9482" max="9728" width="9.140625" style="696"/>
    <col min="9729" max="9729" width="6.140625" style="696" customWidth="1"/>
    <col min="9730" max="9730" width="54.5703125" style="696" customWidth="1"/>
    <col min="9731" max="9731" width="20" style="696" bestFit="1" customWidth="1"/>
    <col min="9732" max="9732" width="19.140625" style="696" bestFit="1" customWidth="1"/>
    <col min="9733" max="9733" width="14.5703125" style="696" customWidth="1"/>
    <col min="9734" max="9734" width="19.42578125" style="696" customWidth="1"/>
    <col min="9735" max="9735" width="12.42578125" style="696" bestFit="1" customWidth="1"/>
    <col min="9736" max="9736" width="9.140625" style="696"/>
    <col min="9737" max="9737" width="16.7109375" style="696" customWidth="1"/>
    <col min="9738" max="9984" width="9.140625" style="696"/>
    <col min="9985" max="9985" width="6.140625" style="696" customWidth="1"/>
    <col min="9986" max="9986" width="54.5703125" style="696" customWidth="1"/>
    <col min="9987" max="9987" width="20" style="696" bestFit="1" customWidth="1"/>
    <col min="9988" max="9988" width="19.140625" style="696" bestFit="1" customWidth="1"/>
    <col min="9989" max="9989" width="14.5703125" style="696" customWidth="1"/>
    <col min="9990" max="9990" width="19.42578125" style="696" customWidth="1"/>
    <col min="9991" max="9991" width="12.42578125" style="696" bestFit="1" customWidth="1"/>
    <col min="9992" max="9992" width="9.140625" style="696"/>
    <col min="9993" max="9993" width="16.7109375" style="696" customWidth="1"/>
    <col min="9994" max="10240" width="9.140625" style="696"/>
    <col min="10241" max="10241" width="6.140625" style="696" customWidth="1"/>
    <col min="10242" max="10242" width="54.5703125" style="696" customWidth="1"/>
    <col min="10243" max="10243" width="20" style="696" bestFit="1" customWidth="1"/>
    <col min="10244" max="10244" width="19.140625" style="696" bestFit="1" customWidth="1"/>
    <col min="10245" max="10245" width="14.5703125" style="696" customWidth="1"/>
    <col min="10246" max="10246" width="19.42578125" style="696" customWidth="1"/>
    <col min="10247" max="10247" width="12.42578125" style="696" bestFit="1" customWidth="1"/>
    <col min="10248" max="10248" width="9.140625" style="696"/>
    <col min="10249" max="10249" width="16.7109375" style="696" customWidth="1"/>
    <col min="10250" max="10496" width="9.140625" style="696"/>
    <col min="10497" max="10497" width="6.140625" style="696" customWidth="1"/>
    <col min="10498" max="10498" width="54.5703125" style="696" customWidth="1"/>
    <col min="10499" max="10499" width="20" style="696" bestFit="1" customWidth="1"/>
    <col min="10500" max="10500" width="19.140625" style="696" bestFit="1" customWidth="1"/>
    <col min="10501" max="10501" width="14.5703125" style="696" customWidth="1"/>
    <col min="10502" max="10502" width="19.42578125" style="696" customWidth="1"/>
    <col min="10503" max="10503" width="12.42578125" style="696" bestFit="1" customWidth="1"/>
    <col min="10504" max="10504" width="9.140625" style="696"/>
    <col min="10505" max="10505" width="16.7109375" style="696" customWidth="1"/>
    <col min="10506" max="10752" width="9.140625" style="696"/>
    <col min="10753" max="10753" width="6.140625" style="696" customWidth="1"/>
    <col min="10754" max="10754" width="54.5703125" style="696" customWidth="1"/>
    <col min="10755" max="10755" width="20" style="696" bestFit="1" customWidth="1"/>
    <col min="10756" max="10756" width="19.140625" style="696" bestFit="1" customWidth="1"/>
    <col min="10757" max="10757" width="14.5703125" style="696" customWidth="1"/>
    <col min="10758" max="10758" width="19.42578125" style="696" customWidth="1"/>
    <col min="10759" max="10759" width="12.42578125" style="696" bestFit="1" customWidth="1"/>
    <col min="10760" max="10760" width="9.140625" style="696"/>
    <col min="10761" max="10761" width="16.7109375" style="696" customWidth="1"/>
    <col min="10762" max="11008" width="9.140625" style="696"/>
    <col min="11009" max="11009" width="6.140625" style="696" customWidth="1"/>
    <col min="11010" max="11010" width="54.5703125" style="696" customWidth="1"/>
    <col min="11011" max="11011" width="20" style="696" bestFit="1" customWidth="1"/>
    <col min="11012" max="11012" width="19.140625" style="696" bestFit="1" customWidth="1"/>
    <col min="11013" max="11013" width="14.5703125" style="696" customWidth="1"/>
    <col min="11014" max="11014" width="19.42578125" style="696" customWidth="1"/>
    <col min="11015" max="11015" width="12.42578125" style="696" bestFit="1" customWidth="1"/>
    <col min="11016" max="11016" width="9.140625" style="696"/>
    <col min="11017" max="11017" width="16.7109375" style="696" customWidth="1"/>
    <col min="11018" max="11264" width="9.140625" style="696"/>
    <col min="11265" max="11265" width="6.140625" style="696" customWidth="1"/>
    <col min="11266" max="11266" width="54.5703125" style="696" customWidth="1"/>
    <col min="11267" max="11267" width="20" style="696" bestFit="1" customWidth="1"/>
    <col min="11268" max="11268" width="19.140625" style="696" bestFit="1" customWidth="1"/>
    <col min="11269" max="11269" width="14.5703125" style="696" customWidth="1"/>
    <col min="11270" max="11270" width="19.42578125" style="696" customWidth="1"/>
    <col min="11271" max="11271" width="12.42578125" style="696" bestFit="1" customWidth="1"/>
    <col min="11272" max="11272" width="9.140625" style="696"/>
    <col min="11273" max="11273" width="16.7109375" style="696" customWidth="1"/>
    <col min="11274" max="11520" width="9.140625" style="696"/>
    <col min="11521" max="11521" width="6.140625" style="696" customWidth="1"/>
    <col min="11522" max="11522" width="54.5703125" style="696" customWidth="1"/>
    <col min="11523" max="11523" width="20" style="696" bestFit="1" customWidth="1"/>
    <col min="11524" max="11524" width="19.140625" style="696" bestFit="1" customWidth="1"/>
    <col min="11525" max="11525" width="14.5703125" style="696" customWidth="1"/>
    <col min="11526" max="11526" width="19.42578125" style="696" customWidth="1"/>
    <col min="11527" max="11527" width="12.42578125" style="696" bestFit="1" customWidth="1"/>
    <col min="11528" max="11528" width="9.140625" style="696"/>
    <col min="11529" max="11529" width="16.7109375" style="696" customWidth="1"/>
    <col min="11530" max="11776" width="9.140625" style="696"/>
    <col min="11777" max="11777" width="6.140625" style="696" customWidth="1"/>
    <col min="11778" max="11778" width="54.5703125" style="696" customWidth="1"/>
    <col min="11779" max="11779" width="20" style="696" bestFit="1" customWidth="1"/>
    <col min="11780" max="11780" width="19.140625" style="696" bestFit="1" customWidth="1"/>
    <col min="11781" max="11781" width="14.5703125" style="696" customWidth="1"/>
    <col min="11782" max="11782" width="19.42578125" style="696" customWidth="1"/>
    <col min="11783" max="11783" width="12.42578125" style="696" bestFit="1" customWidth="1"/>
    <col min="11784" max="11784" width="9.140625" style="696"/>
    <col min="11785" max="11785" width="16.7109375" style="696" customWidth="1"/>
    <col min="11786" max="12032" width="9.140625" style="696"/>
    <col min="12033" max="12033" width="6.140625" style="696" customWidth="1"/>
    <col min="12034" max="12034" width="54.5703125" style="696" customWidth="1"/>
    <col min="12035" max="12035" width="20" style="696" bestFit="1" customWidth="1"/>
    <col min="12036" max="12036" width="19.140625" style="696" bestFit="1" customWidth="1"/>
    <col min="12037" max="12037" width="14.5703125" style="696" customWidth="1"/>
    <col min="12038" max="12038" width="19.42578125" style="696" customWidth="1"/>
    <col min="12039" max="12039" width="12.42578125" style="696" bestFit="1" customWidth="1"/>
    <col min="12040" max="12040" width="9.140625" style="696"/>
    <col min="12041" max="12041" width="16.7109375" style="696" customWidth="1"/>
    <col min="12042" max="12288" width="9.140625" style="696"/>
    <col min="12289" max="12289" width="6.140625" style="696" customWidth="1"/>
    <col min="12290" max="12290" width="54.5703125" style="696" customWidth="1"/>
    <col min="12291" max="12291" width="20" style="696" bestFit="1" customWidth="1"/>
    <col min="12292" max="12292" width="19.140625" style="696" bestFit="1" customWidth="1"/>
    <col min="12293" max="12293" width="14.5703125" style="696" customWidth="1"/>
    <col min="12294" max="12294" width="19.42578125" style="696" customWidth="1"/>
    <col min="12295" max="12295" width="12.42578125" style="696" bestFit="1" customWidth="1"/>
    <col min="12296" max="12296" width="9.140625" style="696"/>
    <col min="12297" max="12297" width="16.7109375" style="696" customWidth="1"/>
    <col min="12298" max="12544" width="9.140625" style="696"/>
    <col min="12545" max="12545" width="6.140625" style="696" customWidth="1"/>
    <col min="12546" max="12546" width="54.5703125" style="696" customWidth="1"/>
    <col min="12547" max="12547" width="20" style="696" bestFit="1" customWidth="1"/>
    <col min="12548" max="12548" width="19.140625" style="696" bestFit="1" customWidth="1"/>
    <col min="12549" max="12549" width="14.5703125" style="696" customWidth="1"/>
    <col min="12550" max="12550" width="19.42578125" style="696" customWidth="1"/>
    <col min="12551" max="12551" width="12.42578125" style="696" bestFit="1" customWidth="1"/>
    <col min="12552" max="12552" width="9.140625" style="696"/>
    <col min="12553" max="12553" width="16.7109375" style="696" customWidth="1"/>
    <col min="12554" max="12800" width="9.140625" style="696"/>
    <col min="12801" max="12801" width="6.140625" style="696" customWidth="1"/>
    <col min="12802" max="12802" width="54.5703125" style="696" customWidth="1"/>
    <col min="12803" max="12803" width="20" style="696" bestFit="1" customWidth="1"/>
    <col min="12804" max="12804" width="19.140625" style="696" bestFit="1" customWidth="1"/>
    <col min="12805" max="12805" width="14.5703125" style="696" customWidth="1"/>
    <col min="12806" max="12806" width="19.42578125" style="696" customWidth="1"/>
    <col min="12807" max="12807" width="12.42578125" style="696" bestFit="1" customWidth="1"/>
    <col min="12808" max="12808" width="9.140625" style="696"/>
    <col min="12809" max="12809" width="16.7109375" style="696" customWidth="1"/>
    <col min="12810" max="13056" width="9.140625" style="696"/>
    <col min="13057" max="13057" width="6.140625" style="696" customWidth="1"/>
    <col min="13058" max="13058" width="54.5703125" style="696" customWidth="1"/>
    <col min="13059" max="13059" width="20" style="696" bestFit="1" customWidth="1"/>
    <col min="13060" max="13060" width="19.140625" style="696" bestFit="1" customWidth="1"/>
    <col min="13061" max="13061" width="14.5703125" style="696" customWidth="1"/>
    <col min="13062" max="13062" width="19.42578125" style="696" customWidth="1"/>
    <col min="13063" max="13063" width="12.42578125" style="696" bestFit="1" customWidth="1"/>
    <col min="13064" max="13064" width="9.140625" style="696"/>
    <col min="13065" max="13065" width="16.7109375" style="696" customWidth="1"/>
    <col min="13066" max="13312" width="9.140625" style="696"/>
    <col min="13313" max="13313" width="6.140625" style="696" customWidth="1"/>
    <col min="13314" max="13314" width="54.5703125" style="696" customWidth="1"/>
    <col min="13315" max="13315" width="20" style="696" bestFit="1" customWidth="1"/>
    <col min="13316" max="13316" width="19.140625" style="696" bestFit="1" customWidth="1"/>
    <col min="13317" max="13317" width="14.5703125" style="696" customWidth="1"/>
    <col min="13318" max="13318" width="19.42578125" style="696" customWidth="1"/>
    <col min="13319" max="13319" width="12.42578125" style="696" bestFit="1" customWidth="1"/>
    <col min="13320" max="13320" width="9.140625" style="696"/>
    <col min="13321" max="13321" width="16.7109375" style="696" customWidth="1"/>
    <col min="13322" max="13568" width="9.140625" style="696"/>
    <col min="13569" max="13569" width="6.140625" style="696" customWidth="1"/>
    <col min="13570" max="13570" width="54.5703125" style="696" customWidth="1"/>
    <col min="13571" max="13571" width="20" style="696" bestFit="1" customWidth="1"/>
    <col min="13572" max="13572" width="19.140625" style="696" bestFit="1" customWidth="1"/>
    <col min="13573" max="13573" width="14.5703125" style="696" customWidth="1"/>
    <col min="13574" max="13574" width="19.42578125" style="696" customWidth="1"/>
    <col min="13575" max="13575" width="12.42578125" style="696" bestFit="1" customWidth="1"/>
    <col min="13576" max="13576" width="9.140625" style="696"/>
    <col min="13577" max="13577" width="16.7109375" style="696" customWidth="1"/>
    <col min="13578" max="13824" width="9.140625" style="696"/>
    <col min="13825" max="13825" width="6.140625" style="696" customWidth="1"/>
    <col min="13826" max="13826" width="54.5703125" style="696" customWidth="1"/>
    <col min="13827" max="13827" width="20" style="696" bestFit="1" customWidth="1"/>
    <col min="13828" max="13828" width="19.140625" style="696" bestFit="1" customWidth="1"/>
    <col min="13829" max="13829" width="14.5703125" style="696" customWidth="1"/>
    <col min="13830" max="13830" width="19.42578125" style="696" customWidth="1"/>
    <col min="13831" max="13831" width="12.42578125" style="696" bestFit="1" customWidth="1"/>
    <col min="13832" max="13832" width="9.140625" style="696"/>
    <col min="13833" max="13833" width="16.7109375" style="696" customWidth="1"/>
    <col min="13834" max="14080" width="9.140625" style="696"/>
    <col min="14081" max="14081" width="6.140625" style="696" customWidth="1"/>
    <col min="14082" max="14082" width="54.5703125" style="696" customWidth="1"/>
    <col min="14083" max="14083" width="20" style="696" bestFit="1" customWidth="1"/>
    <col min="14084" max="14084" width="19.140625" style="696" bestFit="1" customWidth="1"/>
    <col min="14085" max="14085" width="14.5703125" style="696" customWidth="1"/>
    <col min="14086" max="14086" width="19.42578125" style="696" customWidth="1"/>
    <col min="14087" max="14087" width="12.42578125" style="696" bestFit="1" customWidth="1"/>
    <col min="14088" max="14088" width="9.140625" style="696"/>
    <col min="14089" max="14089" width="16.7109375" style="696" customWidth="1"/>
    <col min="14090" max="14336" width="9.140625" style="696"/>
    <col min="14337" max="14337" width="6.140625" style="696" customWidth="1"/>
    <col min="14338" max="14338" width="54.5703125" style="696" customWidth="1"/>
    <col min="14339" max="14339" width="20" style="696" bestFit="1" customWidth="1"/>
    <col min="14340" max="14340" width="19.140625" style="696" bestFit="1" customWidth="1"/>
    <col min="14341" max="14341" width="14.5703125" style="696" customWidth="1"/>
    <col min="14342" max="14342" width="19.42578125" style="696" customWidth="1"/>
    <col min="14343" max="14343" width="12.42578125" style="696" bestFit="1" customWidth="1"/>
    <col min="14344" max="14344" width="9.140625" style="696"/>
    <col min="14345" max="14345" width="16.7109375" style="696" customWidth="1"/>
    <col min="14346" max="14592" width="9.140625" style="696"/>
    <col min="14593" max="14593" width="6.140625" style="696" customWidth="1"/>
    <col min="14594" max="14594" width="54.5703125" style="696" customWidth="1"/>
    <col min="14595" max="14595" width="20" style="696" bestFit="1" customWidth="1"/>
    <col min="14596" max="14596" width="19.140625" style="696" bestFit="1" customWidth="1"/>
    <col min="14597" max="14597" width="14.5703125" style="696" customWidth="1"/>
    <col min="14598" max="14598" width="19.42578125" style="696" customWidth="1"/>
    <col min="14599" max="14599" width="12.42578125" style="696" bestFit="1" customWidth="1"/>
    <col min="14600" max="14600" width="9.140625" style="696"/>
    <col min="14601" max="14601" width="16.7109375" style="696" customWidth="1"/>
    <col min="14602" max="14848" width="9.140625" style="696"/>
    <col min="14849" max="14849" width="6.140625" style="696" customWidth="1"/>
    <col min="14850" max="14850" width="54.5703125" style="696" customWidth="1"/>
    <col min="14851" max="14851" width="20" style="696" bestFit="1" customWidth="1"/>
    <col min="14852" max="14852" width="19.140625" style="696" bestFit="1" customWidth="1"/>
    <col min="14853" max="14853" width="14.5703125" style="696" customWidth="1"/>
    <col min="14854" max="14854" width="19.42578125" style="696" customWidth="1"/>
    <col min="14855" max="14855" width="12.42578125" style="696" bestFit="1" customWidth="1"/>
    <col min="14856" max="14856" width="9.140625" style="696"/>
    <col min="14857" max="14857" width="16.7109375" style="696" customWidth="1"/>
    <col min="14858" max="15104" width="9.140625" style="696"/>
    <col min="15105" max="15105" width="6.140625" style="696" customWidth="1"/>
    <col min="15106" max="15106" width="54.5703125" style="696" customWidth="1"/>
    <col min="15107" max="15107" width="20" style="696" bestFit="1" customWidth="1"/>
    <col min="15108" max="15108" width="19.140625" style="696" bestFit="1" customWidth="1"/>
    <col min="15109" max="15109" width="14.5703125" style="696" customWidth="1"/>
    <col min="15110" max="15110" width="19.42578125" style="696" customWidth="1"/>
    <col min="15111" max="15111" width="12.42578125" style="696" bestFit="1" customWidth="1"/>
    <col min="15112" max="15112" width="9.140625" style="696"/>
    <col min="15113" max="15113" width="16.7109375" style="696" customWidth="1"/>
    <col min="15114" max="15360" width="9.140625" style="696"/>
    <col min="15361" max="15361" width="6.140625" style="696" customWidth="1"/>
    <col min="15362" max="15362" width="54.5703125" style="696" customWidth="1"/>
    <col min="15363" max="15363" width="20" style="696" bestFit="1" customWidth="1"/>
    <col min="15364" max="15364" width="19.140625" style="696" bestFit="1" customWidth="1"/>
    <col min="15365" max="15365" width="14.5703125" style="696" customWidth="1"/>
    <col min="15366" max="15366" width="19.42578125" style="696" customWidth="1"/>
    <col min="15367" max="15367" width="12.42578125" style="696" bestFit="1" customWidth="1"/>
    <col min="15368" max="15368" width="9.140625" style="696"/>
    <col min="15369" max="15369" width="16.7109375" style="696" customWidth="1"/>
    <col min="15370" max="15616" width="9.140625" style="696"/>
    <col min="15617" max="15617" width="6.140625" style="696" customWidth="1"/>
    <col min="15618" max="15618" width="54.5703125" style="696" customWidth="1"/>
    <col min="15619" max="15619" width="20" style="696" bestFit="1" customWidth="1"/>
    <col min="15620" max="15620" width="19.140625" style="696" bestFit="1" customWidth="1"/>
    <col min="15621" max="15621" width="14.5703125" style="696" customWidth="1"/>
    <col min="15622" max="15622" width="19.42578125" style="696" customWidth="1"/>
    <col min="15623" max="15623" width="12.42578125" style="696" bestFit="1" customWidth="1"/>
    <col min="15624" max="15624" width="9.140625" style="696"/>
    <col min="15625" max="15625" width="16.7109375" style="696" customWidth="1"/>
    <col min="15626" max="15872" width="9.140625" style="696"/>
    <col min="15873" max="15873" width="6.140625" style="696" customWidth="1"/>
    <col min="15874" max="15874" width="54.5703125" style="696" customWidth="1"/>
    <col min="15875" max="15875" width="20" style="696" bestFit="1" customWidth="1"/>
    <col min="15876" max="15876" width="19.140625" style="696" bestFit="1" customWidth="1"/>
    <col min="15877" max="15877" width="14.5703125" style="696" customWidth="1"/>
    <col min="15878" max="15878" width="19.42578125" style="696" customWidth="1"/>
    <col min="15879" max="15879" width="12.42578125" style="696" bestFit="1" customWidth="1"/>
    <col min="15880" max="15880" width="9.140625" style="696"/>
    <col min="15881" max="15881" width="16.7109375" style="696" customWidth="1"/>
    <col min="15882" max="16128" width="9.140625" style="696"/>
    <col min="16129" max="16129" width="6.140625" style="696" customWidth="1"/>
    <col min="16130" max="16130" width="54.5703125" style="696" customWidth="1"/>
    <col min="16131" max="16131" width="20" style="696" bestFit="1" customWidth="1"/>
    <col min="16132" max="16132" width="19.140625" style="696" bestFit="1" customWidth="1"/>
    <col min="16133" max="16133" width="14.5703125" style="696" customWidth="1"/>
    <col min="16134" max="16134" width="19.42578125" style="696" customWidth="1"/>
    <col min="16135" max="16135" width="12.42578125" style="696" bestFit="1" customWidth="1"/>
    <col min="16136" max="16136" width="9.140625" style="696"/>
    <col min="16137" max="16137" width="16.7109375" style="696" customWidth="1"/>
    <col min="16138" max="16384" width="9.140625" style="696"/>
  </cols>
  <sheetData>
    <row r="1" spans="1:24" ht="25.5" customHeight="1">
      <c r="A1" s="781" t="s">
        <v>1157</v>
      </c>
      <c r="B1" s="781"/>
      <c r="C1" s="781"/>
      <c r="D1" s="781"/>
      <c r="E1" s="781"/>
      <c r="F1" s="781"/>
      <c r="G1" s="695"/>
      <c r="H1" s="695"/>
      <c r="I1" s="695"/>
      <c r="J1" s="695"/>
      <c r="K1" s="695"/>
      <c r="L1" s="695"/>
      <c r="M1" s="695"/>
      <c r="N1" s="695"/>
      <c r="O1" s="695"/>
      <c r="P1" s="695"/>
      <c r="Q1" s="695"/>
      <c r="R1" s="695"/>
      <c r="S1" s="695"/>
      <c r="T1" s="695"/>
      <c r="U1" s="695"/>
      <c r="V1" s="695"/>
      <c r="W1" s="695"/>
      <c r="X1" s="695"/>
    </row>
    <row r="2" spans="1:24" ht="18.75">
      <c r="A2" s="782" t="s">
        <v>1119</v>
      </c>
      <c r="B2" s="782"/>
      <c r="C2" s="782"/>
      <c r="D2" s="782"/>
      <c r="E2" s="782"/>
      <c r="F2" s="782"/>
      <c r="G2" s="688"/>
      <c r="H2" s="688"/>
      <c r="I2" s="688"/>
      <c r="J2" s="657"/>
      <c r="K2" s="690"/>
      <c r="L2" s="689"/>
      <c r="M2" s="695"/>
      <c r="N2" s="695"/>
      <c r="O2" s="695"/>
      <c r="P2" s="695"/>
      <c r="Q2" s="695"/>
      <c r="R2" s="695"/>
      <c r="S2" s="695"/>
      <c r="T2" s="695"/>
      <c r="U2" s="695"/>
      <c r="V2" s="695"/>
      <c r="W2" s="695"/>
      <c r="X2" s="695"/>
    </row>
    <row r="3" spans="1:24" ht="39" customHeight="1">
      <c r="A3" s="783" t="s">
        <v>1120</v>
      </c>
      <c r="B3" s="783"/>
      <c r="C3" s="783"/>
      <c r="D3" s="783"/>
      <c r="E3" s="783"/>
      <c r="F3" s="783"/>
      <c r="G3" s="660"/>
      <c r="H3" s="660"/>
      <c r="I3" s="660"/>
      <c r="J3" s="660"/>
      <c r="K3" s="660"/>
      <c r="L3" s="660"/>
      <c r="M3" s="695"/>
      <c r="N3" s="695"/>
      <c r="O3" s="695"/>
      <c r="P3" s="695"/>
      <c r="Q3" s="695"/>
      <c r="R3" s="695"/>
      <c r="S3" s="695"/>
      <c r="T3" s="695"/>
      <c r="U3" s="695"/>
      <c r="V3" s="695"/>
      <c r="W3" s="695"/>
      <c r="X3" s="695"/>
    </row>
    <row r="4" spans="1:24" ht="47.25">
      <c r="A4" s="697" t="s">
        <v>25</v>
      </c>
      <c r="B4" s="697" t="s">
        <v>455</v>
      </c>
      <c r="C4" s="701" t="s">
        <v>1159</v>
      </c>
      <c r="D4" s="701" t="s">
        <v>1158</v>
      </c>
      <c r="E4" s="701" t="s">
        <v>1166</v>
      </c>
      <c r="F4" s="697" t="s">
        <v>317</v>
      </c>
      <c r="I4" s="698"/>
    </row>
    <row r="5" spans="1:24" s="712" customFormat="1">
      <c r="A5" s="710">
        <v>1</v>
      </c>
      <c r="B5" s="710">
        <v>2</v>
      </c>
      <c r="C5" s="711">
        <v>3</v>
      </c>
      <c r="D5" s="710">
        <v>4</v>
      </c>
      <c r="E5" s="710" t="s">
        <v>1165</v>
      </c>
      <c r="F5" s="710">
        <v>6</v>
      </c>
      <c r="I5" s="713"/>
    </row>
    <row r="6" spans="1:24" ht="31.5">
      <c r="A6" s="702">
        <v>1</v>
      </c>
      <c r="B6" s="703" t="s">
        <v>1160</v>
      </c>
      <c r="C6" s="704"/>
      <c r="D6" s="704"/>
      <c r="E6" s="704"/>
      <c r="F6" s="705"/>
    </row>
    <row r="7" spans="1:24" ht="31.5">
      <c r="A7" s="702">
        <v>2</v>
      </c>
      <c r="B7" s="703" t="s">
        <v>1161</v>
      </c>
      <c r="C7" s="704"/>
      <c r="D7" s="704"/>
      <c r="E7" s="704"/>
      <c r="F7" s="705"/>
    </row>
    <row r="8" spans="1:24" ht="31.5">
      <c r="A8" s="722">
        <v>3</v>
      </c>
      <c r="B8" s="723" t="s">
        <v>1170</v>
      </c>
      <c r="C8" s="724"/>
      <c r="D8" s="704"/>
      <c r="E8" s="725"/>
      <c r="F8" s="706"/>
    </row>
    <row r="9" spans="1:24" ht="31.5">
      <c r="A9" s="707">
        <v>4</v>
      </c>
      <c r="B9" s="703" t="s">
        <v>1162</v>
      </c>
      <c r="C9" s="708"/>
      <c r="D9" s="708"/>
      <c r="E9" s="708"/>
      <c r="F9" s="709"/>
    </row>
    <row r="10" spans="1:24" ht="31.5">
      <c r="A10" s="707">
        <v>5</v>
      </c>
      <c r="B10" s="703" t="s">
        <v>1163</v>
      </c>
      <c r="C10" s="708"/>
      <c r="D10" s="708"/>
      <c r="E10" s="708"/>
      <c r="F10" s="709"/>
    </row>
    <row r="11" spans="1:24" s="720" customFormat="1" ht="21" customHeight="1">
      <c r="A11" s="716"/>
      <c r="B11" s="717" t="s">
        <v>1164</v>
      </c>
      <c r="C11" s="718">
        <f>SUM(C6:C10)</f>
        <v>0</v>
      </c>
      <c r="D11" s="718">
        <f>SUM(D6:D10)</f>
        <v>0</v>
      </c>
      <c r="E11" s="718">
        <f>SUM(E6:E10)</f>
        <v>0</v>
      </c>
      <c r="F11" s="717"/>
      <c r="G11" s="719"/>
    </row>
    <row r="13" spans="1:24" s="677" customFormat="1" ht="14.25">
      <c r="B13" s="714" t="s">
        <v>1169</v>
      </c>
      <c r="C13" s="821"/>
      <c r="D13" s="821"/>
      <c r="E13" s="784" t="s">
        <v>1137</v>
      </c>
      <c r="F13" s="784"/>
      <c r="L13" s="683"/>
      <c r="R13" s="684"/>
      <c r="S13" s="684"/>
      <c r="V13" s="684"/>
      <c r="W13" s="684"/>
      <c r="X13" s="686"/>
    </row>
    <row r="20" spans="2:6">
      <c r="B20" s="699"/>
      <c r="C20" s="700"/>
      <c r="D20" s="700"/>
      <c r="E20" s="700"/>
      <c r="F20" s="700"/>
    </row>
  </sheetData>
  <mergeCells count="4">
    <mergeCell ref="E13:F13"/>
    <mergeCell ref="A1:F1"/>
    <mergeCell ref="A2:F2"/>
    <mergeCell ref="A3:F3"/>
  </mergeCells>
  <pageMargins left="0.70866141732283472" right="0.27559055118110237" top="0.86614173228346458" bottom="0.74803149606299213"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sheetPr>
    <tabColor rgb="FF00B050"/>
  </sheetPr>
  <dimension ref="A1:I392"/>
  <sheetViews>
    <sheetView topLeftCell="A388" workbookViewId="0">
      <selection activeCell="I97" sqref="I97"/>
    </sheetView>
  </sheetViews>
  <sheetFormatPr defaultRowHeight="18.75"/>
  <cols>
    <col min="1" max="1" width="6.5703125" style="543" customWidth="1"/>
    <col min="2" max="2" width="29" style="543" customWidth="1"/>
    <col min="3" max="3" width="8.140625" style="543" customWidth="1"/>
    <col min="4" max="4" width="13.85546875" style="543" bestFit="1" customWidth="1"/>
    <col min="5" max="5" width="15.140625" style="543" bestFit="1" customWidth="1"/>
    <col min="6" max="6" width="17.85546875" style="543" bestFit="1" customWidth="1"/>
    <col min="7" max="7" width="9.140625" style="543"/>
    <col min="8" max="8" width="19.5703125" style="543" bestFit="1" customWidth="1"/>
    <col min="9" max="9" width="17.85546875" style="543" customWidth="1"/>
    <col min="10" max="256" width="9.140625" style="543"/>
    <col min="257" max="257" width="6.5703125" style="543" customWidth="1"/>
    <col min="258" max="258" width="29" style="543" customWidth="1"/>
    <col min="259" max="259" width="8.140625" style="543" customWidth="1"/>
    <col min="260" max="260" width="13.85546875" style="543" bestFit="1" customWidth="1"/>
    <col min="261" max="261" width="15.140625" style="543" bestFit="1" customWidth="1"/>
    <col min="262" max="262" width="17.85546875" style="543" bestFit="1" customWidth="1"/>
    <col min="263" max="512" width="9.140625" style="543"/>
    <col min="513" max="513" width="6.5703125" style="543" customWidth="1"/>
    <col min="514" max="514" width="29" style="543" customWidth="1"/>
    <col min="515" max="515" width="8.140625" style="543" customWidth="1"/>
    <col min="516" max="516" width="13.85546875" style="543" bestFit="1" customWidth="1"/>
    <col min="517" max="517" width="15.140625" style="543" bestFit="1" customWidth="1"/>
    <col min="518" max="518" width="17.85546875" style="543" bestFit="1" customWidth="1"/>
    <col min="519" max="768" width="9.140625" style="543"/>
    <col min="769" max="769" width="6.5703125" style="543" customWidth="1"/>
    <col min="770" max="770" width="29" style="543" customWidth="1"/>
    <col min="771" max="771" width="8.140625" style="543" customWidth="1"/>
    <col min="772" max="772" width="13.85546875" style="543" bestFit="1" customWidth="1"/>
    <col min="773" max="773" width="15.140625" style="543" bestFit="1" customWidth="1"/>
    <col min="774" max="774" width="17.85546875" style="543" bestFit="1" customWidth="1"/>
    <col min="775" max="1024" width="9.140625" style="543"/>
    <col min="1025" max="1025" width="6.5703125" style="543" customWidth="1"/>
    <col min="1026" max="1026" width="29" style="543" customWidth="1"/>
    <col min="1027" max="1027" width="8.140625" style="543" customWidth="1"/>
    <col min="1028" max="1028" width="13.85546875" style="543" bestFit="1" customWidth="1"/>
    <col min="1029" max="1029" width="15.140625" style="543" bestFit="1" customWidth="1"/>
    <col min="1030" max="1030" width="17.85546875" style="543" bestFit="1" customWidth="1"/>
    <col min="1031" max="1280" width="9.140625" style="543"/>
    <col min="1281" max="1281" width="6.5703125" style="543" customWidth="1"/>
    <col min="1282" max="1282" width="29" style="543" customWidth="1"/>
    <col min="1283" max="1283" width="8.140625" style="543" customWidth="1"/>
    <col min="1284" max="1284" width="13.85546875" style="543" bestFit="1" customWidth="1"/>
    <col min="1285" max="1285" width="15.140625" style="543" bestFit="1" customWidth="1"/>
    <col min="1286" max="1286" width="17.85546875" style="543" bestFit="1" customWidth="1"/>
    <col min="1287" max="1536" width="9.140625" style="543"/>
    <col min="1537" max="1537" width="6.5703125" style="543" customWidth="1"/>
    <col min="1538" max="1538" width="29" style="543" customWidth="1"/>
    <col min="1539" max="1539" width="8.140625" style="543" customWidth="1"/>
    <col min="1540" max="1540" width="13.85546875" style="543" bestFit="1" customWidth="1"/>
    <col min="1541" max="1541" width="15.140625" style="543" bestFit="1" customWidth="1"/>
    <col min="1542" max="1542" width="17.85546875" style="543" bestFit="1" customWidth="1"/>
    <col min="1543" max="1792" width="9.140625" style="543"/>
    <col min="1793" max="1793" width="6.5703125" style="543" customWidth="1"/>
    <col min="1794" max="1794" width="29" style="543" customWidth="1"/>
    <col min="1795" max="1795" width="8.140625" style="543" customWidth="1"/>
    <col min="1796" max="1796" width="13.85546875" style="543" bestFit="1" customWidth="1"/>
    <col min="1797" max="1797" width="15.140625" style="543" bestFit="1" customWidth="1"/>
    <col min="1798" max="1798" width="17.85546875" style="543" bestFit="1" customWidth="1"/>
    <col min="1799" max="2048" width="9.140625" style="543"/>
    <col min="2049" max="2049" width="6.5703125" style="543" customWidth="1"/>
    <col min="2050" max="2050" width="29" style="543" customWidth="1"/>
    <col min="2051" max="2051" width="8.140625" style="543" customWidth="1"/>
    <col min="2052" max="2052" width="13.85546875" style="543" bestFit="1" customWidth="1"/>
    <col min="2053" max="2053" width="15.140625" style="543" bestFit="1" customWidth="1"/>
    <col min="2054" max="2054" width="17.85546875" style="543" bestFit="1" customWidth="1"/>
    <col min="2055" max="2304" width="9.140625" style="543"/>
    <col min="2305" max="2305" width="6.5703125" style="543" customWidth="1"/>
    <col min="2306" max="2306" width="29" style="543" customWidth="1"/>
    <col min="2307" max="2307" width="8.140625" style="543" customWidth="1"/>
    <col min="2308" max="2308" width="13.85546875" style="543" bestFit="1" customWidth="1"/>
    <col min="2309" max="2309" width="15.140625" style="543" bestFit="1" customWidth="1"/>
    <col min="2310" max="2310" width="17.85546875" style="543" bestFit="1" customWidth="1"/>
    <col min="2311" max="2560" width="9.140625" style="543"/>
    <col min="2561" max="2561" width="6.5703125" style="543" customWidth="1"/>
    <col min="2562" max="2562" width="29" style="543" customWidth="1"/>
    <col min="2563" max="2563" width="8.140625" style="543" customWidth="1"/>
    <col min="2564" max="2564" width="13.85546875" style="543" bestFit="1" customWidth="1"/>
    <col min="2565" max="2565" width="15.140625" style="543" bestFit="1" customWidth="1"/>
    <col min="2566" max="2566" width="17.85546875" style="543" bestFit="1" customWidth="1"/>
    <col min="2567" max="2816" width="9.140625" style="543"/>
    <col min="2817" max="2817" width="6.5703125" style="543" customWidth="1"/>
    <col min="2818" max="2818" width="29" style="543" customWidth="1"/>
    <col min="2819" max="2819" width="8.140625" style="543" customWidth="1"/>
    <col min="2820" max="2820" width="13.85546875" style="543" bestFit="1" customWidth="1"/>
    <col min="2821" max="2821" width="15.140625" style="543" bestFit="1" customWidth="1"/>
    <col min="2822" max="2822" width="17.85546875" style="543" bestFit="1" customWidth="1"/>
    <col min="2823" max="3072" width="9.140625" style="543"/>
    <col min="3073" max="3073" width="6.5703125" style="543" customWidth="1"/>
    <col min="3074" max="3074" width="29" style="543" customWidth="1"/>
    <col min="3075" max="3075" width="8.140625" style="543" customWidth="1"/>
    <col min="3076" max="3076" width="13.85546875" style="543" bestFit="1" customWidth="1"/>
    <col min="3077" max="3077" width="15.140625" style="543" bestFit="1" customWidth="1"/>
    <col min="3078" max="3078" width="17.85546875" style="543" bestFit="1" customWidth="1"/>
    <col min="3079" max="3328" width="9.140625" style="543"/>
    <col min="3329" max="3329" width="6.5703125" style="543" customWidth="1"/>
    <col min="3330" max="3330" width="29" style="543" customWidth="1"/>
    <col min="3331" max="3331" width="8.140625" style="543" customWidth="1"/>
    <col min="3332" max="3332" width="13.85546875" style="543" bestFit="1" customWidth="1"/>
    <col min="3333" max="3333" width="15.140625" style="543" bestFit="1" customWidth="1"/>
    <col min="3334" max="3334" width="17.85546875" style="543" bestFit="1" customWidth="1"/>
    <col min="3335" max="3584" width="9.140625" style="543"/>
    <col min="3585" max="3585" width="6.5703125" style="543" customWidth="1"/>
    <col min="3586" max="3586" width="29" style="543" customWidth="1"/>
    <col min="3587" max="3587" width="8.140625" style="543" customWidth="1"/>
    <col min="3588" max="3588" width="13.85546875" style="543" bestFit="1" customWidth="1"/>
    <col min="3589" max="3589" width="15.140625" style="543" bestFit="1" customWidth="1"/>
    <col min="3590" max="3590" width="17.85546875" style="543" bestFit="1" customWidth="1"/>
    <col min="3591" max="3840" width="9.140625" style="543"/>
    <col min="3841" max="3841" width="6.5703125" style="543" customWidth="1"/>
    <col min="3842" max="3842" width="29" style="543" customWidth="1"/>
    <col min="3843" max="3843" width="8.140625" style="543" customWidth="1"/>
    <col min="3844" max="3844" width="13.85546875" style="543" bestFit="1" customWidth="1"/>
    <col min="3845" max="3845" width="15.140625" style="543" bestFit="1" customWidth="1"/>
    <col min="3846" max="3846" width="17.85546875" style="543" bestFit="1" customWidth="1"/>
    <col min="3847" max="4096" width="9.140625" style="543"/>
    <col min="4097" max="4097" width="6.5703125" style="543" customWidth="1"/>
    <col min="4098" max="4098" width="29" style="543" customWidth="1"/>
    <col min="4099" max="4099" width="8.140625" style="543" customWidth="1"/>
    <col min="4100" max="4100" width="13.85546875" style="543" bestFit="1" customWidth="1"/>
    <col min="4101" max="4101" width="15.140625" style="543" bestFit="1" customWidth="1"/>
    <col min="4102" max="4102" width="17.85546875" style="543" bestFit="1" customWidth="1"/>
    <col min="4103" max="4352" width="9.140625" style="543"/>
    <col min="4353" max="4353" width="6.5703125" style="543" customWidth="1"/>
    <col min="4354" max="4354" width="29" style="543" customWidth="1"/>
    <col min="4355" max="4355" width="8.140625" style="543" customWidth="1"/>
    <col min="4356" max="4356" width="13.85546875" style="543" bestFit="1" customWidth="1"/>
    <col min="4357" max="4357" width="15.140625" style="543" bestFit="1" customWidth="1"/>
    <col min="4358" max="4358" width="17.85546875" style="543" bestFit="1" customWidth="1"/>
    <col min="4359" max="4608" width="9.140625" style="543"/>
    <col min="4609" max="4609" width="6.5703125" style="543" customWidth="1"/>
    <col min="4610" max="4610" width="29" style="543" customWidth="1"/>
    <col min="4611" max="4611" width="8.140625" style="543" customWidth="1"/>
    <col min="4612" max="4612" width="13.85546875" style="543" bestFit="1" customWidth="1"/>
    <col min="4613" max="4613" width="15.140625" style="543" bestFit="1" customWidth="1"/>
    <col min="4614" max="4614" width="17.85546875" style="543" bestFit="1" customWidth="1"/>
    <col min="4615" max="4864" width="9.140625" style="543"/>
    <col min="4865" max="4865" width="6.5703125" style="543" customWidth="1"/>
    <col min="4866" max="4866" width="29" style="543" customWidth="1"/>
    <col min="4867" max="4867" width="8.140625" style="543" customWidth="1"/>
    <col min="4868" max="4868" width="13.85546875" style="543" bestFit="1" customWidth="1"/>
    <col min="4869" max="4869" width="15.140625" style="543" bestFit="1" customWidth="1"/>
    <col min="4870" max="4870" width="17.85546875" style="543" bestFit="1" customWidth="1"/>
    <col min="4871" max="5120" width="9.140625" style="543"/>
    <col min="5121" max="5121" width="6.5703125" style="543" customWidth="1"/>
    <col min="5122" max="5122" width="29" style="543" customWidth="1"/>
    <col min="5123" max="5123" width="8.140625" style="543" customWidth="1"/>
    <col min="5124" max="5124" width="13.85546875" style="543" bestFit="1" customWidth="1"/>
    <col min="5125" max="5125" width="15.140625" style="543" bestFit="1" customWidth="1"/>
    <col min="5126" max="5126" width="17.85546875" style="543" bestFit="1" customWidth="1"/>
    <col min="5127" max="5376" width="9.140625" style="543"/>
    <col min="5377" max="5377" width="6.5703125" style="543" customWidth="1"/>
    <col min="5378" max="5378" width="29" style="543" customWidth="1"/>
    <col min="5379" max="5379" width="8.140625" style="543" customWidth="1"/>
    <col min="5380" max="5380" width="13.85546875" style="543" bestFit="1" customWidth="1"/>
    <col min="5381" max="5381" width="15.140625" style="543" bestFit="1" customWidth="1"/>
    <col min="5382" max="5382" width="17.85546875" style="543" bestFit="1" customWidth="1"/>
    <col min="5383" max="5632" width="9.140625" style="543"/>
    <col min="5633" max="5633" width="6.5703125" style="543" customWidth="1"/>
    <col min="5634" max="5634" width="29" style="543" customWidth="1"/>
    <col min="5635" max="5635" width="8.140625" style="543" customWidth="1"/>
    <col min="5636" max="5636" width="13.85546875" style="543" bestFit="1" customWidth="1"/>
    <col min="5637" max="5637" width="15.140625" style="543" bestFit="1" customWidth="1"/>
    <col min="5638" max="5638" width="17.85546875" style="543" bestFit="1" customWidth="1"/>
    <col min="5639" max="5888" width="9.140625" style="543"/>
    <col min="5889" max="5889" width="6.5703125" style="543" customWidth="1"/>
    <col min="5890" max="5890" width="29" style="543" customWidth="1"/>
    <col min="5891" max="5891" width="8.140625" style="543" customWidth="1"/>
    <col min="5892" max="5892" width="13.85546875" style="543" bestFit="1" customWidth="1"/>
    <col min="5893" max="5893" width="15.140625" style="543" bestFit="1" customWidth="1"/>
    <col min="5894" max="5894" width="17.85546875" style="543" bestFit="1" customWidth="1"/>
    <col min="5895" max="6144" width="9.140625" style="543"/>
    <col min="6145" max="6145" width="6.5703125" style="543" customWidth="1"/>
    <col min="6146" max="6146" width="29" style="543" customWidth="1"/>
    <col min="6147" max="6147" width="8.140625" style="543" customWidth="1"/>
    <col min="6148" max="6148" width="13.85546875" style="543" bestFit="1" customWidth="1"/>
    <col min="6149" max="6149" width="15.140625" style="543" bestFit="1" customWidth="1"/>
    <col min="6150" max="6150" width="17.85546875" style="543" bestFit="1" customWidth="1"/>
    <col min="6151" max="6400" width="9.140625" style="543"/>
    <col min="6401" max="6401" width="6.5703125" style="543" customWidth="1"/>
    <col min="6402" max="6402" width="29" style="543" customWidth="1"/>
    <col min="6403" max="6403" width="8.140625" style="543" customWidth="1"/>
    <col min="6404" max="6404" width="13.85546875" style="543" bestFit="1" customWidth="1"/>
    <col min="6405" max="6405" width="15.140625" style="543" bestFit="1" customWidth="1"/>
    <col min="6406" max="6406" width="17.85546875" style="543" bestFit="1" customWidth="1"/>
    <col min="6407" max="6656" width="9.140625" style="543"/>
    <col min="6657" max="6657" width="6.5703125" style="543" customWidth="1"/>
    <col min="6658" max="6658" width="29" style="543" customWidth="1"/>
    <col min="6659" max="6659" width="8.140625" style="543" customWidth="1"/>
    <col min="6660" max="6660" width="13.85546875" style="543" bestFit="1" customWidth="1"/>
    <col min="6661" max="6661" width="15.140625" style="543" bestFit="1" customWidth="1"/>
    <col min="6662" max="6662" width="17.85546875" style="543" bestFit="1" customWidth="1"/>
    <col min="6663" max="6912" width="9.140625" style="543"/>
    <col min="6913" max="6913" width="6.5703125" style="543" customWidth="1"/>
    <col min="6914" max="6914" width="29" style="543" customWidth="1"/>
    <col min="6915" max="6915" width="8.140625" style="543" customWidth="1"/>
    <col min="6916" max="6916" width="13.85546875" style="543" bestFit="1" customWidth="1"/>
    <col min="6917" max="6917" width="15.140625" style="543" bestFit="1" customWidth="1"/>
    <col min="6918" max="6918" width="17.85546875" style="543" bestFit="1" customWidth="1"/>
    <col min="6919" max="7168" width="9.140625" style="543"/>
    <col min="7169" max="7169" width="6.5703125" style="543" customWidth="1"/>
    <col min="7170" max="7170" width="29" style="543" customWidth="1"/>
    <col min="7171" max="7171" width="8.140625" style="543" customWidth="1"/>
    <col min="7172" max="7172" width="13.85546875" style="543" bestFit="1" customWidth="1"/>
    <col min="7173" max="7173" width="15.140625" style="543" bestFit="1" customWidth="1"/>
    <col min="7174" max="7174" width="17.85546875" style="543" bestFit="1" customWidth="1"/>
    <col min="7175" max="7424" width="9.140625" style="543"/>
    <col min="7425" max="7425" width="6.5703125" style="543" customWidth="1"/>
    <col min="7426" max="7426" width="29" style="543" customWidth="1"/>
    <col min="7427" max="7427" width="8.140625" style="543" customWidth="1"/>
    <col min="7428" max="7428" width="13.85546875" style="543" bestFit="1" customWidth="1"/>
    <col min="7429" max="7429" width="15.140625" style="543" bestFit="1" customWidth="1"/>
    <col min="7430" max="7430" width="17.85546875" style="543" bestFit="1" customWidth="1"/>
    <col min="7431" max="7680" width="9.140625" style="543"/>
    <col min="7681" max="7681" width="6.5703125" style="543" customWidth="1"/>
    <col min="7682" max="7682" width="29" style="543" customWidth="1"/>
    <col min="7683" max="7683" width="8.140625" style="543" customWidth="1"/>
    <col min="7684" max="7684" width="13.85546875" style="543" bestFit="1" customWidth="1"/>
    <col min="7685" max="7685" width="15.140625" style="543" bestFit="1" customWidth="1"/>
    <col min="7686" max="7686" width="17.85546875" style="543" bestFit="1" customWidth="1"/>
    <col min="7687" max="7936" width="9.140625" style="543"/>
    <col min="7937" max="7937" width="6.5703125" style="543" customWidth="1"/>
    <col min="7938" max="7938" width="29" style="543" customWidth="1"/>
    <col min="7939" max="7939" width="8.140625" style="543" customWidth="1"/>
    <col min="7940" max="7940" width="13.85546875" style="543" bestFit="1" customWidth="1"/>
    <col min="7941" max="7941" width="15.140625" style="543" bestFit="1" customWidth="1"/>
    <col min="7942" max="7942" width="17.85546875" style="543" bestFit="1" customWidth="1"/>
    <col min="7943" max="8192" width="9.140625" style="543"/>
    <col min="8193" max="8193" width="6.5703125" style="543" customWidth="1"/>
    <col min="8194" max="8194" width="29" style="543" customWidth="1"/>
    <col min="8195" max="8195" width="8.140625" style="543" customWidth="1"/>
    <col min="8196" max="8196" width="13.85546875" style="543" bestFit="1" customWidth="1"/>
    <col min="8197" max="8197" width="15.140625" style="543" bestFit="1" customWidth="1"/>
    <col min="8198" max="8198" width="17.85546875" style="543" bestFit="1" customWidth="1"/>
    <col min="8199" max="8448" width="9.140625" style="543"/>
    <col min="8449" max="8449" width="6.5703125" style="543" customWidth="1"/>
    <col min="8450" max="8450" width="29" style="543" customWidth="1"/>
    <col min="8451" max="8451" width="8.140625" style="543" customWidth="1"/>
    <col min="8452" max="8452" width="13.85546875" style="543" bestFit="1" customWidth="1"/>
    <col min="8453" max="8453" width="15.140625" style="543" bestFit="1" customWidth="1"/>
    <col min="8454" max="8454" width="17.85546875" style="543" bestFit="1" customWidth="1"/>
    <col min="8455" max="8704" width="9.140625" style="543"/>
    <col min="8705" max="8705" width="6.5703125" style="543" customWidth="1"/>
    <col min="8706" max="8706" width="29" style="543" customWidth="1"/>
    <col min="8707" max="8707" width="8.140625" style="543" customWidth="1"/>
    <col min="8708" max="8708" width="13.85546875" style="543" bestFit="1" customWidth="1"/>
    <col min="8709" max="8709" width="15.140625" style="543" bestFit="1" customWidth="1"/>
    <col min="8710" max="8710" width="17.85546875" style="543" bestFit="1" customWidth="1"/>
    <col min="8711" max="8960" width="9.140625" style="543"/>
    <col min="8961" max="8961" width="6.5703125" style="543" customWidth="1"/>
    <col min="8962" max="8962" width="29" style="543" customWidth="1"/>
    <col min="8963" max="8963" width="8.140625" style="543" customWidth="1"/>
    <col min="8964" max="8964" width="13.85546875" style="543" bestFit="1" customWidth="1"/>
    <col min="8965" max="8965" width="15.140625" style="543" bestFit="1" customWidth="1"/>
    <col min="8966" max="8966" width="17.85546875" style="543" bestFit="1" customWidth="1"/>
    <col min="8967" max="9216" width="9.140625" style="543"/>
    <col min="9217" max="9217" width="6.5703125" style="543" customWidth="1"/>
    <col min="9218" max="9218" width="29" style="543" customWidth="1"/>
    <col min="9219" max="9219" width="8.140625" style="543" customWidth="1"/>
    <col min="9220" max="9220" width="13.85546875" style="543" bestFit="1" customWidth="1"/>
    <col min="9221" max="9221" width="15.140625" style="543" bestFit="1" customWidth="1"/>
    <col min="9222" max="9222" width="17.85546875" style="543" bestFit="1" customWidth="1"/>
    <col min="9223" max="9472" width="9.140625" style="543"/>
    <col min="9473" max="9473" width="6.5703125" style="543" customWidth="1"/>
    <col min="9474" max="9474" width="29" style="543" customWidth="1"/>
    <col min="9475" max="9475" width="8.140625" style="543" customWidth="1"/>
    <col min="9476" max="9476" width="13.85546875" style="543" bestFit="1" customWidth="1"/>
    <col min="9477" max="9477" width="15.140625" style="543" bestFit="1" customWidth="1"/>
    <col min="9478" max="9478" width="17.85546875" style="543" bestFit="1" customWidth="1"/>
    <col min="9479" max="9728" width="9.140625" style="543"/>
    <col min="9729" max="9729" width="6.5703125" style="543" customWidth="1"/>
    <col min="9730" max="9730" width="29" style="543" customWidth="1"/>
    <col min="9731" max="9731" width="8.140625" style="543" customWidth="1"/>
    <col min="9732" max="9732" width="13.85546875" style="543" bestFit="1" customWidth="1"/>
    <col min="9733" max="9733" width="15.140625" style="543" bestFit="1" customWidth="1"/>
    <col min="9734" max="9734" width="17.85546875" style="543" bestFit="1" customWidth="1"/>
    <col min="9735" max="9984" width="9.140625" style="543"/>
    <col min="9985" max="9985" width="6.5703125" style="543" customWidth="1"/>
    <col min="9986" max="9986" width="29" style="543" customWidth="1"/>
    <col min="9987" max="9987" width="8.140625" style="543" customWidth="1"/>
    <col min="9988" max="9988" width="13.85546875" style="543" bestFit="1" customWidth="1"/>
    <col min="9989" max="9989" width="15.140625" style="543" bestFit="1" customWidth="1"/>
    <col min="9990" max="9990" width="17.85546875" style="543" bestFit="1" customWidth="1"/>
    <col min="9991" max="10240" width="9.140625" style="543"/>
    <col min="10241" max="10241" width="6.5703125" style="543" customWidth="1"/>
    <col min="10242" max="10242" width="29" style="543" customWidth="1"/>
    <col min="10243" max="10243" width="8.140625" style="543" customWidth="1"/>
    <col min="10244" max="10244" width="13.85546875" style="543" bestFit="1" customWidth="1"/>
    <col min="10245" max="10245" width="15.140625" style="543" bestFit="1" customWidth="1"/>
    <col min="10246" max="10246" width="17.85546875" style="543" bestFit="1" customWidth="1"/>
    <col min="10247" max="10496" width="9.140625" style="543"/>
    <col min="10497" max="10497" width="6.5703125" style="543" customWidth="1"/>
    <col min="10498" max="10498" width="29" style="543" customWidth="1"/>
    <col min="10499" max="10499" width="8.140625" style="543" customWidth="1"/>
    <col min="10500" max="10500" width="13.85546875" style="543" bestFit="1" customWidth="1"/>
    <col min="10501" max="10501" width="15.140625" style="543" bestFit="1" customWidth="1"/>
    <col min="10502" max="10502" width="17.85546875" style="543" bestFit="1" customWidth="1"/>
    <col min="10503" max="10752" width="9.140625" style="543"/>
    <col min="10753" max="10753" width="6.5703125" style="543" customWidth="1"/>
    <col min="10754" max="10754" width="29" style="543" customWidth="1"/>
    <col min="10755" max="10755" width="8.140625" style="543" customWidth="1"/>
    <col min="10756" max="10756" width="13.85546875" style="543" bestFit="1" customWidth="1"/>
    <col min="10757" max="10757" width="15.140625" style="543" bestFit="1" customWidth="1"/>
    <col min="10758" max="10758" width="17.85546875" style="543" bestFit="1" customWidth="1"/>
    <col min="10759" max="11008" width="9.140625" style="543"/>
    <col min="11009" max="11009" width="6.5703125" style="543" customWidth="1"/>
    <col min="11010" max="11010" width="29" style="543" customWidth="1"/>
    <col min="11011" max="11011" width="8.140625" style="543" customWidth="1"/>
    <col min="11012" max="11012" width="13.85546875" style="543" bestFit="1" customWidth="1"/>
    <col min="11013" max="11013" width="15.140625" style="543" bestFit="1" customWidth="1"/>
    <col min="11014" max="11014" width="17.85546875" style="543" bestFit="1" customWidth="1"/>
    <col min="11015" max="11264" width="9.140625" style="543"/>
    <col min="11265" max="11265" width="6.5703125" style="543" customWidth="1"/>
    <col min="11266" max="11266" width="29" style="543" customWidth="1"/>
    <col min="11267" max="11267" width="8.140625" style="543" customWidth="1"/>
    <col min="11268" max="11268" width="13.85546875" style="543" bestFit="1" customWidth="1"/>
    <col min="11269" max="11269" width="15.140625" style="543" bestFit="1" customWidth="1"/>
    <col min="11270" max="11270" width="17.85546875" style="543" bestFit="1" customWidth="1"/>
    <col min="11271" max="11520" width="9.140625" style="543"/>
    <col min="11521" max="11521" width="6.5703125" style="543" customWidth="1"/>
    <col min="11522" max="11522" width="29" style="543" customWidth="1"/>
    <col min="11523" max="11523" width="8.140625" style="543" customWidth="1"/>
    <col min="11524" max="11524" width="13.85546875" style="543" bestFit="1" customWidth="1"/>
    <col min="11525" max="11525" width="15.140625" style="543" bestFit="1" customWidth="1"/>
    <col min="11526" max="11526" width="17.85546875" style="543" bestFit="1" customWidth="1"/>
    <col min="11527" max="11776" width="9.140625" style="543"/>
    <col min="11777" max="11777" width="6.5703125" style="543" customWidth="1"/>
    <col min="11778" max="11778" width="29" style="543" customWidth="1"/>
    <col min="11779" max="11779" width="8.140625" style="543" customWidth="1"/>
    <col min="11780" max="11780" width="13.85546875" style="543" bestFit="1" customWidth="1"/>
    <col min="11781" max="11781" width="15.140625" style="543" bestFit="1" customWidth="1"/>
    <col min="11782" max="11782" width="17.85546875" style="543" bestFit="1" customWidth="1"/>
    <col min="11783" max="12032" width="9.140625" style="543"/>
    <col min="12033" max="12033" width="6.5703125" style="543" customWidth="1"/>
    <col min="12034" max="12034" width="29" style="543" customWidth="1"/>
    <col min="12035" max="12035" width="8.140625" style="543" customWidth="1"/>
    <col min="12036" max="12036" width="13.85546875" style="543" bestFit="1" customWidth="1"/>
    <col min="12037" max="12037" width="15.140625" style="543" bestFit="1" customWidth="1"/>
    <col min="12038" max="12038" width="17.85546875" style="543" bestFit="1" customWidth="1"/>
    <col min="12039" max="12288" width="9.140625" style="543"/>
    <col min="12289" max="12289" width="6.5703125" style="543" customWidth="1"/>
    <col min="12290" max="12290" width="29" style="543" customWidth="1"/>
    <col min="12291" max="12291" width="8.140625" style="543" customWidth="1"/>
    <col min="12292" max="12292" width="13.85546875" style="543" bestFit="1" customWidth="1"/>
    <col min="12293" max="12293" width="15.140625" style="543" bestFit="1" customWidth="1"/>
    <col min="12294" max="12294" width="17.85546875" style="543" bestFit="1" customWidth="1"/>
    <col min="12295" max="12544" width="9.140625" style="543"/>
    <col min="12545" max="12545" width="6.5703125" style="543" customWidth="1"/>
    <col min="12546" max="12546" width="29" style="543" customWidth="1"/>
    <col min="12547" max="12547" width="8.140625" style="543" customWidth="1"/>
    <col min="12548" max="12548" width="13.85546875" style="543" bestFit="1" customWidth="1"/>
    <col min="12549" max="12549" width="15.140625" style="543" bestFit="1" customWidth="1"/>
    <col min="12550" max="12550" width="17.85546875" style="543" bestFit="1" customWidth="1"/>
    <col min="12551" max="12800" width="9.140625" style="543"/>
    <col min="12801" max="12801" width="6.5703125" style="543" customWidth="1"/>
    <col min="12802" max="12802" width="29" style="543" customWidth="1"/>
    <col min="12803" max="12803" width="8.140625" style="543" customWidth="1"/>
    <col min="12804" max="12804" width="13.85546875" style="543" bestFit="1" customWidth="1"/>
    <col min="12805" max="12805" width="15.140625" style="543" bestFit="1" customWidth="1"/>
    <col min="12806" max="12806" width="17.85546875" style="543" bestFit="1" customWidth="1"/>
    <col min="12807" max="13056" width="9.140625" style="543"/>
    <col min="13057" max="13057" width="6.5703125" style="543" customWidth="1"/>
    <col min="13058" max="13058" width="29" style="543" customWidth="1"/>
    <col min="13059" max="13059" width="8.140625" style="543" customWidth="1"/>
    <col min="13060" max="13060" width="13.85546875" style="543" bestFit="1" customWidth="1"/>
    <col min="13061" max="13061" width="15.140625" style="543" bestFit="1" customWidth="1"/>
    <col min="13062" max="13062" width="17.85546875" style="543" bestFit="1" customWidth="1"/>
    <col min="13063" max="13312" width="9.140625" style="543"/>
    <col min="13313" max="13313" width="6.5703125" style="543" customWidth="1"/>
    <col min="13314" max="13314" width="29" style="543" customWidth="1"/>
    <col min="13315" max="13315" width="8.140625" style="543" customWidth="1"/>
    <col min="13316" max="13316" width="13.85546875" style="543" bestFit="1" customWidth="1"/>
    <col min="13317" max="13317" width="15.140625" style="543" bestFit="1" customWidth="1"/>
    <col min="13318" max="13318" width="17.85546875" style="543" bestFit="1" customWidth="1"/>
    <col min="13319" max="13568" width="9.140625" style="543"/>
    <col min="13569" max="13569" width="6.5703125" style="543" customWidth="1"/>
    <col min="13570" max="13570" width="29" style="543" customWidth="1"/>
    <col min="13571" max="13571" width="8.140625" style="543" customWidth="1"/>
    <col min="13572" max="13572" width="13.85546875" style="543" bestFit="1" customWidth="1"/>
    <col min="13573" max="13573" width="15.140625" style="543" bestFit="1" customWidth="1"/>
    <col min="13574" max="13574" width="17.85546875" style="543" bestFit="1" customWidth="1"/>
    <col min="13575" max="13824" width="9.140625" style="543"/>
    <col min="13825" max="13825" width="6.5703125" style="543" customWidth="1"/>
    <col min="13826" max="13826" width="29" style="543" customWidth="1"/>
    <col min="13827" max="13827" width="8.140625" style="543" customWidth="1"/>
    <col min="13828" max="13828" width="13.85546875" style="543" bestFit="1" customWidth="1"/>
    <col min="13829" max="13829" width="15.140625" style="543" bestFit="1" customWidth="1"/>
    <col min="13830" max="13830" width="17.85546875" style="543" bestFit="1" customWidth="1"/>
    <col min="13831" max="14080" width="9.140625" style="543"/>
    <col min="14081" max="14081" width="6.5703125" style="543" customWidth="1"/>
    <col min="14082" max="14082" width="29" style="543" customWidth="1"/>
    <col min="14083" max="14083" width="8.140625" style="543" customWidth="1"/>
    <col min="14084" max="14084" width="13.85546875" style="543" bestFit="1" customWidth="1"/>
    <col min="14085" max="14085" width="15.140625" style="543" bestFit="1" customWidth="1"/>
    <col min="14086" max="14086" width="17.85546875" style="543" bestFit="1" customWidth="1"/>
    <col min="14087" max="14336" width="9.140625" style="543"/>
    <col min="14337" max="14337" width="6.5703125" style="543" customWidth="1"/>
    <col min="14338" max="14338" width="29" style="543" customWidth="1"/>
    <col min="14339" max="14339" width="8.140625" style="543" customWidth="1"/>
    <col min="14340" max="14340" width="13.85546875" style="543" bestFit="1" customWidth="1"/>
    <col min="14341" max="14341" width="15.140625" style="543" bestFit="1" customWidth="1"/>
    <col min="14342" max="14342" width="17.85546875" style="543" bestFit="1" customWidth="1"/>
    <col min="14343" max="14592" width="9.140625" style="543"/>
    <col min="14593" max="14593" width="6.5703125" style="543" customWidth="1"/>
    <col min="14594" max="14594" width="29" style="543" customWidth="1"/>
    <col min="14595" max="14595" width="8.140625" style="543" customWidth="1"/>
    <col min="14596" max="14596" width="13.85546875" style="543" bestFit="1" customWidth="1"/>
    <col min="14597" max="14597" width="15.140625" style="543" bestFit="1" customWidth="1"/>
    <col min="14598" max="14598" width="17.85546875" style="543" bestFit="1" customWidth="1"/>
    <col min="14599" max="14848" width="9.140625" style="543"/>
    <col min="14849" max="14849" width="6.5703125" style="543" customWidth="1"/>
    <col min="14850" max="14850" width="29" style="543" customWidth="1"/>
    <col min="14851" max="14851" width="8.140625" style="543" customWidth="1"/>
    <col min="14852" max="14852" width="13.85546875" style="543" bestFit="1" customWidth="1"/>
    <col min="14853" max="14853" width="15.140625" style="543" bestFit="1" customWidth="1"/>
    <col min="14854" max="14854" width="17.85546875" style="543" bestFit="1" customWidth="1"/>
    <col min="14855" max="15104" width="9.140625" style="543"/>
    <col min="15105" max="15105" width="6.5703125" style="543" customWidth="1"/>
    <col min="15106" max="15106" width="29" style="543" customWidth="1"/>
    <col min="15107" max="15107" width="8.140625" style="543" customWidth="1"/>
    <col min="15108" max="15108" width="13.85546875" style="543" bestFit="1" customWidth="1"/>
    <col min="15109" max="15109" width="15.140625" style="543" bestFit="1" customWidth="1"/>
    <col min="15110" max="15110" width="17.85546875" style="543" bestFit="1" customWidth="1"/>
    <col min="15111" max="15360" width="9.140625" style="543"/>
    <col min="15361" max="15361" width="6.5703125" style="543" customWidth="1"/>
    <col min="15362" max="15362" width="29" style="543" customWidth="1"/>
    <col min="15363" max="15363" width="8.140625" style="543" customWidth="1"/>
    <col min="15364" max="15364" width="13.85546875" style="543" bestFit="1" customWidth="1"/>
    <col min="15365" max="15365" width="15.140625" style="543" bestFit="1" customWidth="1"/>
    <col min="15366" max="15366" width="17.85546875" style="543" bestFit="1" customWidth="1"/>
    <col min="15367" max="15616" width="9.140625" style="543"/>
    <col min="15617" max="15617" width="6.5703125" style="543" customWidth="1"/>
    <col min="15618" max="15618" width="29" style="543" customWidth="1"/>
    <col min="15619" max="15619" width="8.140625" style="543" customWidth="1"/>
    <col min="15620" max="15620" width="13.85546875" style="543" bestFit="1" customWidth="1"/>
    <col min="15621" max="15621" width="15.140625" style="543" bestFit="1" customWidth="1"/>
    <col min="15622" max="15622" width="17.85546875" style="543" bestFit="1" customWidth="1"/>
    <col min="15623" max="15872" width="9.140625" style="543"/>
    <col min="15873" max="15873" width="6.5703125" style="543" customWidth="1"/>
    <col min="15874" max="15874" width="29" style="543" customWidth="1"/>
    <col min="15875" max="15875" width="8.140625" style="543" customWidth="1"/>
    <col min="15876" max="15876" width="13.85546875" style="543" bestFit="1" customWidth="1"/>
    <col min="15877" max="15877" width="15.140625" style="543" bestFit="1" customWidth="1"/>
    <col min="15878" max="15878" width="17.85546875" style="543" bestFit="1" customWidth="1"/>
    <col min="15879" max="16128" width="9.140625" style="543"/>
    <col min="16129" max="16129" width="6.5703125" style="543" customWidth="1"/>
    <col min="16130" max="16130" width="29" style="543" customWidth="1"/>
    <col min="16131" max="16131" width="8.140625" style="543" customWidth="1"/>
    <col min="16132" max="16132" width="13.85546875" style="543" bestFit="1" customWidth="1"/>
    <col min="16133" max="16133" width="15.140625" style="543" bestFit="1" customWidth="1"/>
    <col min="16134" max="16134" width="17.85546875" style="543" bestFit="1" customWidth="1"/>
    <col min="16135" max="16384" width="9.140625" style="543"/>
  </cols>
  <sheetData>
    <row r="1" spans="1:9">
      <c r="A1" s="788" t="s">
        <v>992</v>
      </c>
      <c r="B1" s="788"/>
      <c r="C1" s="788"/>
      <c r="D1" s="788"/>
      <c r="E1" s="788"/>
      <c r="F1" s="788"/>
    </row>
    <row r="2" spans="1:9">
      <c r="A2" s="788" t="s">
        <v>993</v>
      </c>
      <c r="B2" s="788"/>
      <c r="C2" s="788"/>
      <c r="D2" s="788"/>
      <c r="E2" s="788"/>
      <c r="F2" s="788"/>
    </row>
    <row r="3" spans="1:9" ht="19.5" thickBot="1">
      <c r="F3" s="544" t="s">
        <v>994</v>
      </c>
    </row>
    <row r="4" spans="1:9" ht="45" customHeight="1">
      <c r="A4" s="545" t="s">
        <v>25</v>
      </c>
      <c r="B4" s="546" t="s">
        <v>894</v>
      </c>
      <c r="C4" s="547" t="s">
        <v>995</v>
      </c>
      <c r="D4" s="548" t="s">
        <v>996</v>
      </c>
      <c r="E4" s="547" t="s">
        <v>997</v>
      </c>
      <c r="F4" s="549" t="s">
        <v>998</v>
      </c>
    </row>
    <row r="5" spans="1:9" ht="24.75" customHeight="1">
      <c r="A5" s="789" t="s">
        <v>494</v>
      </c>
      <c r="B5" s="790"/>
      <c r="C5" s="790"/>
      <c r="D5" s="790"/>
      <c r="E5" s="790"/>
      <c r="F5" s="791"/>
    </row>
    <row r="6" spans="1:9">
      <c r="A6" s="550" t="s">
        <v>8</v>
      </c>
      <c r="B6" s="551" t="s">
        <v>908</v>
      </c>
      <c r="C6" s="552"/>
      <c r="D6" s="553"/>
      <c r="E6" s="554"/>
      <c r="F6" s="555">
        <f>SUM(F7:F18)</f>
        <v>294224988.72432816</v>
      </c>
      <c r="H6" s="555" t="e">
        <f>SUM(H7:H18)</f>
        <v>#REF!</v>
      </c>
      <c r="I6" s="580" t="e">
        <f>+H6/F6</f>
        <v>#REF!</v>
      </c>
    </row>
    <row r="7" spans="1:9">
      <c r="A7" s="556">
        <v>1</v>
      </c>
      <c r="B7" s="557" t="s">
        <v>909</v>
      </c>
      <c r="C7" s="558" t="s">
        <v>273</v>
      </c>
      <c r="D7" s="559">
        <v>2406.83</v>
      </c>
      <c r="E7" s="560">
        <v>118586.87100243727</v>
      </c>
      <c r="F7" s="561">
        <f>D7*E7</f>
        <v>285418438.73479611</v>
      </c>
      <c r="H7" s="579" t="e">
        <f>+F7*#REF!</f>
        <v>#REF!</v>
      </c>
    </row>
    <row r="8" spans="1:9">
      <c r="A8" s="556">
        <v>2</v>
      </c>
      <c r="B8" s="557" t="s">
        <v>910</v>
      </c>
      <c r="C8" s="558" t="s">
        <v>273</v>
      </c>
      <c r="D8" s="559">
        <v>4.0599999999999996</v>
      </c>
      <c r="E8" s="560">
        <v>118586.87100243727</v>
      </c>
      <c r="F8" s="561">
        <f t="shared" ref="F8:F18" si="0">D8*E8</f>
        <v>481462.6962698953</v>
      </c>
      <c r="H8" s="579" t="e">
        <f>+F8*#REF!</f>
        <v>#REF!</v>
      </c>
    </row>
    <row r="9" spans="1:9">
      <c r="A9" s="556">
        <v>3</v>
      </c>
      <c r="B9" s="557" t="s">
        <v>911</v>
      </c>
      <c r="C9" s="558" t="s">
        <v>273</v>
      </c>
      <c r="D9" s="559">
        <v>15.39</v>
      </c>
      <c r="E9" s="560">
        <v>118586.87100243727</v>
      </c>
      <c r="F9" s="561">
        <f t="shared" si="0"/>
        <v>1825051.9447275097</v>
      </c>
      <c r="H9" s="579" t="e">
        <f>+F9*#REF!</f>
        <v>#REF!</v>
      </c>
    </row>
    <row r="10" spans="1:9">
      <c r="A10" s="556">
        <v>4</v>
      </c>
      <c r="B10" s="557" t="s">
        <v>912</v>
      </c>
      <c r="C10" s="558" t="s">
        <v>273</v>
      </c>
      <c r="D10" s="559">
        <v>37.68</v>
      </c>
      <c r="E10" s="560">
        <v>118586.87100243727</v>
      </c>
      <c r="F10" s="561">
        <f t="shared" si="0"/>
        <v>4468353.2993718367</v>
      </c>
      <c r="H10" s="579" t="e">
        <f>+F10*#REF!</f>
        <v>#REF!</v>
      </c>
    </row>
    <row r="11" spans="1:9">
      <c r="A11" s="556">
        <v>5</v>
      </c>
      <c r="B11" s="557" t="s">
        <v>913</v>
      </c>
      <c r="C11" s="558" t="s">
        <v>273</v>
      </c>
      <c r="D11" s="559">
        <v>1</v>
      </c>
      <c r="E11" s="560">
        <v>131362.13080743729</v>
      </c>
      <c r="F11" s="561">
        <f t="shared" si="0"/>
        <v>131362.13080743729</v>
      </c>
      <c r="H11" s="579" t="e">
        <f>+F11*#REF!</f>
        <v>#REF!</v>
      </c>
    </row>
    <row r="12" spans="1:9">
      <c r="A12" s="556">
        <v>6</v>
      </c>
      <c r="B12" s="557" t="s">
        <v>914</v>
      </c>
      <c r="C12" s="558" t="s">
        <v>273</v>
      </c>
      <c r="D12" s="559">
        <v>1.5</v>
      </c>
      <c r="E12" s="560">
        <v>131362.13080743729</v>
      </c>
      <c r="F12" s="561">
        <f t="shared" si="0"/>
        <v>197043.19621115594</v>
      </c>
      <c r="H12" s="579" t="e">
        <f>+F12*#REF!</f>
        <v>#REF!</v>
      </c>
    </row>
    <row r="13" spans="1:9">
      <c r="A13" s="556">
        <v>7</v>
      </c>
      <c r="B13" s="557" t="s">
        <v>915</v>
      </c>
      <c r="C13" s="558" t="s">
        <v>916</v>
      </c>
      <c r="D13" s="559">
        <v>0.61</v>
      </c>
      <c r="E13" s="560">
        <v>1596907.475625</v>
      </c>
      <c r="F13" s="561">
        <f t="shared" si="0"/>
        <v>974113.56013124995</v>
      </c>
      <c r="H13" s="579" t="e">
        <f>+F13*#REF!</f>
        <v>#REF!</v>
      </c>
    </row>
    <row r="14" spans="1:9">
      <c r="A14" s="556">
        <v>8</v>
      </c>
      <c r="B14" s="557" t="s">
        <v>917</v>
      </c>
      <c r="C14" s="558" t="s">
        <v>918</v>
      </c>
      <c r="D14" s="559">
        <v>46</v>
      </c>
      <c r="E14" s="560">
        <v>3893.4125119999999</v>
      </c>
      <c r="F14" s="561">
        <f t="shared" si="0"/>
        <v>179096.97555199999</v>
      </c>
      <c r="H14" s="579" t="e">
        <f>+F14*#REF!</f>
        <v>#REF!</v>
      </c>
    </row>
    <row r="15" spans="1:9">
      <c r="A15" s="556">
        <v>9</v>
      </c>
      <c r="B15" s="557" t="s">
        <v>919</v>
      </c>
      <c r="C15" s="558" t="s">
        <v>918</v>
      </c>
      <c r="D15" s="559">
        <v>46</v>
      </c>
      <c r="E15" s="560">
        <v>10463.546125999999</v>
      </c>
      <c r="F15" s="561">
        <f t="shared" si="0"/>
        <v>481323.12179599999</v>
      </c>
      <c r="H15" s="579" t="e">
        <f>+F15*#REF!</f>
        <v>#REF!</v>
      </c>
    </row>
    <row r="16" spans="1:9">
      <c r="A16" s="556">
        <v>10</v>
      </c>
      <c r="B16" s="562" t="s">
        <v>920</v>
      </c>
      <c r="C16" s="558" t="s">
        <v>918</v>
      </c>
      <c r="D16" s="559">
        <v>4</v>
      </c>
      <c r="E16" s="560">
        <v>13991.951215000001</v>
      </c>
      <c r="F16" s="561">
        <f t="shared" si="0"/>
        <v>55967.804860000004</v>
      </c>
      <c r="H16" s="579" t="e">
        <f>+F16*#REF!</f>
        <v>#REF!</v>
      </c>
    </row>
    <row r="17" spans="1:9">
      <c r="A17" s="556">
        <v>11</v>
      </c>
      <c r="B17" s="562" t="s">
        <v>921</v>
      </c>
      <c r="C17" s="558" t="s">
        <v>918</v>
      </c>
      <c r="D17" s="559">
        <v>10</v>
      </c>
      <c r="E17" s="560">
        <v>1095.0222690000001</v>
      </c>
      <c r="F17" s="561">
        <f t="shared" si="0"/>
        <v>10950.222690000001</v>
      </c>
      <c r="H17" s="579" t="e">
        <f>+F17*#REF!</f>
        <v>#REF!</v>
      </c>
    </row>
    <row r="18" spans="1:9">
      <c r="A18" s="556">
        <v>12</v>
      </c>
      <c r="B18" s="562" t="s">
        <v>922</v>
      </c>
      <c r="C18" s="558" t="s">
        <v>918</v>
      </c>
      <c r="D18" s="559">
        <v>5</v>
      </c>
      <c r="E18" s="560">
        <v>365.00742300000002</v>
      </c>
      <c r="F18" s="561">
        <f t="shared" si="0"/>
        <v>1825.0371150000001</v>
      </c>
      <c r="H18" s="579" t="e">
        <f>+F18*#REF!</f>
        <v>#REF!</v>
      </c>
    </row>
    <row r="19" spans="1:9">
      <c r="A19" s="550" t="s">
        <v>313</v>
      </c>
      <c r="B19" s="563" t="s">
        <v>999</v>
      </c>
      <c r="C19" s="564"/>
      <c r="D19" s="553">
        <v>0</v>
      </c>
      <c r="E19" s="554"/>
      <c r="F19" s="555">
        <f>SUM(F20:F41)</f>
        <v>138841373.40755224</v>
      </c>
      <c r="H19" s="555" t="e">
        <f>SUM(H20:H41)</f>
        <v>#REF!</v>
      </c>
      <c r="I19" s="580" t="e">
        <f>+H19/F19</f>
        <v>#REF!</v>
      </c>
    </row>
    <row r="20" spans="1:9">
      <c r="A20" s="556">
        <v>1</v>
      </c>
      <c r="B20" s="554" t="s">
        <v>909</v>
      </c>
      <c r="C20" s="564" t="s">
        <v>273</v>
      </c>
      <c r="D20" s="553">
        <v>818.55</v>
      </c>
      <c r="E20" s="560">
        <v>118586.87100243728</v>
      </c>
      <c r="F20" s="561">
        <f>D20*E20</f>
        <v>97069283.259045035</v>
      </c>
      <c r="H20" s="579" t="e">
        <f>+F20*#REF!</f>
        <v>#REF!</v>
      </c>
    </row>
    <row r="21" spans="1:9">
      <c r="A21" s="556">
        <v>2</v>
      </c>
      <c r="B21" s="554" t="s">
        <v>910</v>
      </c>
      <c r="C21" s="564" t="s">
        <v>273</v>
      </c>
      <c r="D21" s="553">
        <v>33.85</v>
      </c>
      <c r="E21" s="560">
        <v>118586.87100243728</v>
      </c>
      <c r="F21" s="561">
        <f t="shared" ref="F21:F41" si="1">D21*E21</f>
        <v>4014165.5834325021</v>
      </c>
      <c r="H21" s="579" t="e">
        <f>+F21*#REF!</f>
        <v>#REF!</v>
      </c>
    </row>
    <row r="22" spans="1:9">
      <c r="A22" s="556">
        <v>3</v>
      </c>
      <c r="B22" s="554" t="s">
        <v>911</v>
      </c>
      <c r="C22" s="564" t="s">
        <v>273</v>
      </c>
      <c r="D22" s="553">
        <v>43.62</v>
      </c>
      <c r="E22" s="560">
        <v>118586.87100243728</v>
      </c>
      <c r="F22" s="561">
        <f t="shared" si="1"/>
        <v>5172759.3131263144</v>
      </c>
      <c r="H22" s="579" t="e">
        <f>+F22*#REF!</f>
        <v>#REF!</v>
      </c>
    </row>
    <row r="23" spans="1:9">
      <c r="A23" s="556">
        <v>4</v>
      </c>
      <c r="B23" s="554" t="s">
        <v>923</v>
      </c>
      <c r="C23" s="564" t="s">
        <v>273</v>
      </c>
      <c r="D23" s="553">
        <v>44.14</v>
      </c>
      <c r="E23" s="560">
        <v>118586.87100243728</v>
      </c>
      <c r="F23" s="561">
        <f t="shared" si="1"/>
        <v>5234424.4860475818</v>
      </c>
      <c r="H23" s="579" t="e">
        <f>+F23*#REF!</f>
        <v>#REF!</v>
      </c>
    </row>
    <row r="24" spans="1:9">
      <c r="A24" s="556">
        <v>5</v>
      </c>
      <c r="B24" s="554" t="s">
        <v>924</v>
      </c>
      <c r="C24" s="564" t="s">
        <v>273</v>
      </c>
      <c r="D24" s="553">
        <v>5.08</v>
      </c>
      <c r="E24" s="560">
        <v>118586.87100243728</v>
      </c>
      <c r="F24" s="561">
        <f t="shared" si="1"/>
        <v>602421.30469238141</v>
      </c>
      <c r="H24" s="579" t="e">
        <f>+F24*#REF!</f>
        <v>#REF!</v>
      </c>
    </row>
    <row r="25" spans="1:9">
      <c r="A25" s="556">
        <v>6</v>
      </c>
      <c r="B25" s="554" t="s">
        <v>925</v>
      </c>
      <c r="C25" s="564" t="s">
        <v>273</v>
      </c>
      <c r="D25" s="553">
        <v>12.61</v>
      </c>
      <c r="E25" s="560">
        <v>118586.87100243728</v>
      </c>
      <c r="F25" s="561">
        <f t="shared" si="1"/>
        <v>1495380.4433407341</v>
      </c>
      <c r="H25" s="579" t="e">
        <f>+F25*#REF!</f>
        <v>#REF!</v>
      </c>
    </row>
    <row r="26" spans="1:9">
      <c r="A26" s="556">
        <v>7</v>
      </c>
      <c r="B26" s="554" t="s">
        <v>926</v>
      </c>
      <c r="C26" s="564" t="s">
        <v>273</v>
      </c>
      <c r="D26" s="553">
        <v>120</v>
      </c>
      <c r="E26" s="560">
        <v>118586.87100243728</v>
      </c>
      <c r="F26" s="561">
        <f t="shared" si="1"/>
        <v>14230424.520292474</v>
      </c>
      <c r="H26" s="579" t="e">
        <f>+F26*#REF!</f>
        <v>#REF!</v>
      </c>
    </row>
    <row r="27" spans="1:9">
      <c r="A27" s="556">
        <v>8</v>
      </c>
      <c r="B27" s="554" t="s">
        <v>927</v>
      </c>
      <c r="C27" s="564" t="s">
        <v>273</v>
      </c>
      <c r="D27" s="553">
        <v>4</v>
      </c>
      <c r="E27" s="560">
        <v>131362.13080743729</v>
      </c>
      <c r="F27" s="561">
        <f t="shared" si="1"/>
        <v>525448.52322974917</v>
      </c>
      <c r="H27" s="579" t="e">
        <f>+F27*#REF!</f>
        <v>#REF!</v>
      </c>
    </row>
    <row r="28" spans="1:9">
      <c r="A28" s="556">
        <v>9</v>
      </c>
      <c r="B28" s="554" t="s">
        <v>928</v>
      </c>
      <c r="C28" s="564" t="s">
        <v>88</v>
      </c>
      <c r="D28" s="553">
        <v>0.32</v>
      </c>
      <c r="E28" s="560">
        <v>1213649.681475</v>
      </c>
      <c r="F28" s="561">
        <f t="shared" si="1"/>
        <v>388367.89807200001</v>
      </c>
      <c r="H28" s="579" t="e">
        <f>+F28*#REF!</f>
        <v>#REF!</v>
      </c>
    </row>
    <row r="29" spans="1:9">
      <c r="A29" s="556">
        <v>10</v>
      </c>
      <c r="B29" s="554" t="s">
        <v>929</v>
      </c>
      <c r="C29" s="564" t="s">
        <v>88</v>
      </c>
      <c r="D29" s="553">
        <v>1.83</v>
      </c>
      <c r="E29" s="560">
        <v>1405278.57855</v>
      </c>
      <c r="F29" s="561">
        <f t="shared" si="1"/>
        <v>2571659.7987465002</v>
      </c>
      <c r="H29" s="579" t="e">
        <f>+F29*#REF!</f>
        <v>#REF!</v>
      </c>
    </row>
    <row r="30" spans="1:9">
      <c r="A30" s="556">
        <v>11</v>
      </c>
      <c r="B30" s="554" t="s">
        <v>930</v>
      </c>
      <c r="C30" s="564" t="s">
        <v>90</v>
      </c>
      <c r="D30" s="553">
        <v>7.62</v>
      </c>
      <c r="E30" s="560">
        <v>485459.87259000004</v>
      </c>
      <c r="F30" s="561">
        <f t="shared" si="1"/>
        <v>3699204.2291358002</v>
      </c>
      <c r="H30" s="579" t="e">
        <f>+F30*#REF!</f>
        <v>#REF!</v>
      </c>
    </row>
    <row r="31" spans="1:9">
      <c r="A31" s="556">
        <v>12</v>
      </c>
      <c r="B31" s="554" t="s">
        <v>931</v>
      </c>
      <c r="C31" s="564" t="s">
        <v>90</v>
      </c>
      <c r="D31" s="553">
        <v>2.97</v>
      </c>
      <c r="E31" s="560">
        <v>664313.50985999999</v>
      </c>
      <c r="F31" s="561">
        <f t="shared" si="1"/>
        <v>1973011.1242842001</v>
      </c>
      <c r="H31" s="579" t="e">
        <f>+F31*#REF!</f>
        <v>#REF!</v>
      </c>
    </row>
    <row r="32" spans="1:9" ht="33">
      <c r="A32" s="556">
        <v>13</v>
      </c>
      <c r="B32" s="554" t="s">
        <v>932</v>
      </c>
      <c r="C32" s="564" t="s">
        <v>210</v>
      </c>
      <c r="D32" s="553">
        <v>30</v>
      </c>
      <c r="E32" s="560">
        <v>5475.1113450000003</v>
      </c>
      <c r="F32" s="561">
        <f t="shared" si="1"/>
        <v>164253.34035000001</v>
      </c>
      <c r="H32" s="579" t="e">
        <f>+F32*#REF!</f>
        <v>#REF!</v>
      </c>
    </row>
    <row r="33" spans="1:9" ht="33">
      <c r="A33" s="556">
        <v>14</v>
      </c>
      <c r="B33" s="554" t="s">
        <v>933</v>
      </c>
      <c r="C33" s="564" t="s">
        <v>210</v>
      </c>
      <c r="D33" s="553">
        <v>4</v>
      </c>
      <c r="E33" s="560">
        <v>13991.951215000001</v>
      </c>
      <c r="F33" s="561">
        <f t="shared" si="1"/>
        <v>55967.804860000004</v>
      </c>
      <c r="H33" s="579" t="e">
        <f>+F33*#REF!</f>
        <v>#REF!</v>
      </c>
    </row>
    <row r="34" spans="1:9">
      <c r="A34" s="556">
        <v>15</v>
      </c>
      <c r="B34" s="554" t="s">
        <v>934</v>
      </c>
      <c r="C34" s="564" t="s">
        <v>210</v>
      </c>
      <c r="D34" s="553">
        <v>2</v>
      </c>
      <c r="E34" s="560">
        <v>34067.359479999999</v>
      </c>
      <c r="F34" s="561">
        <f t="shared" si="1"/>
        <v>68134.718959999998</v>
      </c>
      <c r="H34" s="579" t="e">
        <f>+F34*#REF!</f>
        <v>#REF!</v>
      </c>
    </row>
    <row r="35" spans="1:9">
      <c r="A35" s="556">
        <v>16</v>
      </c>
      <c r="B35" s="554" t="s">
        <v>935</v>
      </c>
      <c r="C35" s="564" t="s">
        <v>210</v>
      </c>
      <c r="D35" s="553">
        <v>4</v>
      </c>
      <c r="E35" s="560">
        <v>30417.285250000001</v>
      </c>
      <c r="F35" s="561">
        <f t="shared" si="1"/>
        <v>121669.141</v>
      </c>
      <c r="H35" s="579" t="e">
        <f>+F35*#REF!</f>
        <v>#REF!</v>
      </c>
    </row>
    <row r="36" spans="1:9">
      <c r="A36" s="556">
        <v>17</v>
      </c>
      <c r="B36" s="554" t="s">
        <v>936</v>
      </c>
      <c r="C36" s="564" t="s">
        <v>210</v>
      </c>
      <c r="D36" s="553">
        <v>114</v>
      </c>
      <c r="E36" s="560">
        <v>4380.0890760000002</v>
      </c>
      <c r="F36" s="561">
        <f t="shared" si="1"/>
        <v>499330.15466400003</v>
      </c>
      <c r="H36" s="579" t="e">
        <f>+F36*#REF!</f>
        <v>#REF!</v>
      </c>
    </row>
    <row r="37" spans="1:9">
      <c r="A37" s="556">
        <v>18</v>
      </c>
      <c r="B37" s="554" t="s">
        <v>937</v>
      </c>
      <c r="C37" s="564" t="s">
        <v>210</v>
      </c>
      <c r="D37" s="553">
        <v>80</v>
      </c>
      <c r="E37" s="560">
        <v>10463.546126000001</v>
      </c>
      <c r="F37" s="561">
        <f t="shared" si="1"/>
        <v>837083.69008000009</v>
      </c>
      <c r="H37" s="579" t="e">
        <f>+F37*#REF!</f>
        <v>#REF!</v>
      </c>
    </row>
    <row r="38" spans="1:9">
      <c r="A38" s="556">
        <v>19</v>
      </c>
      <c r="B38" s="554" t="s">
        <v>938</v>
      </c>
      <c r="C38" s="564" t="s">
        <v>210</v>
      </c>
      <c r="D38" s="553">
        <v>114</v>
      </c>
      <c r="E38" s="560">
        <v>912.51855750000004</v>
      </c>
      <c r="F38" s="561">
        <f t="shared" si="1"/>
        <v>104027.11555500001</v>
      </c>
      <c r="H38" s="579" t="e">
        <f>+F38*#REF!</f>
        <v>#REF!</v>
      </c>
    </row>
    <row r="39" spans="1:9">
      <c r="A39" s="556">
        <v>20</v>
      </c>
      <c r="B39" s="554" t="s">
        <v>939</v>
      </c>
      <c r="C39" s="564" t="s">
        <v>210</v>
      </c>
      <c r="D39" s="553">
        <v>4</v>
      </c>
      <c r="E39" s="560">
        <v>365.00742300000002</v>
      </c>
      <c r="F39" s="561">
        <f t="shared" si="1"/>
        <v>1460.0296920000001</v>
      </c>
      <c r="H39" s="579" t="e">
        <f>+F39*#REF!</f>
        <v>#REF!</v>
      </c>
    </row>
    <row r="40" spans="1:9">
      <c r="A40" s="556">
        <v>21</v>
      </c>
      <c r="B40" s="554" t="s">
        <v>940</v>
      </c>
      <c r="C40" s="564" t="s">
        <v>210</v>
      </c>
      <c r="D40" s="553">
        <v>4</v>
      </c>
      <c r="E40" s="560">
        <v>1034.1876984999999</v>
      </c>
      <c r="F40" s="561">
        <f t="shared" si="1"/>
        <v>4136.7507939999996</v>
      </c>
      <c r="H40" s="579" t="e">
        <f>+F40*#REF!</f>
        <v>#REF!</v>
      </c>
    </row>
    <row r="41" spans="1:9">
      <c r="A41" s="556">
        <v>22</v>
      </c>
      <c r="B41" s="554" t="s">
        <v>941</v>
      </c>
      <c r="C41" s="564" t="s">
        <v>210</v>
      </c>
      <c r="D41" s="553">
        <v>8</v>
      </c>
      <c r="E41" s="560">
        <v>1095.0222690000001</v>
      </c>
      <c r="F41" s="561">
        <f t="shared" si="1"/>
        <v>8760.1781520000004</v>
      </c>
      <c r="H41" s="579" t="e">
        <f>+F41*#REF!</f>
        <v>#REF!</v>
      </c>
    </row>
    <row r="42" spans="1:9">
      <c r="A42" s="550" t="s">
        <v>337</v>
      </c>
      <c r="B42" s="565" t="s">
        <v>942</v>
      </c>
      <c r="C42" s="564"/>
      <c r="D42" s="553">
        <v>0</v>
      </c>
      <c r="E42" s="554"/>
      <c r="F42" s="555">
        <f>SUM(F43:F55)</f>
        <v>42920113.660825409</v>
      </c>
      <c r="H42" s="555" t="e">
        <f>SUM(H43:H55)</f>
        <v>#REF!</v>
      </c>
      <c r="I42" s="580" t="e">
        <f>+H42/F42</f>
        <v>#REF!</v>
      </c>
    </row>
    <row r="43" spans="1:9">
      <c r="A43" s="556">
        <v>1</v>
      </c>
      <c r="B43" s="557" t="s">
        <v>909</v>
      </c>
      <c r="C43" s="566" t="s">
        <v>273</v>
      </c>
      <c r="D43" s="553">
        <v>277.23</v>
      </c>
      <c r="E43" s="560">
        <v>118586.87100243728</v>
      </c>
      <c r="F43" s="561">
        <f>D43*E43</f>
        <v>32875838.248005692</v>
      </c>
      <c r="H43" s="579" t="e">
        <f>+F43*#REF!</f>
        <v>#REF!</v>
      </c>
    </row>
    <row r="44" spans="1:9">
      <c r="A44" s="556">
        <v>2</v>
      </c>
      <c r="B44" s="557" t="s">
        <v>911</v>
      </c>
      <c r="C44" s="566" t="s">
        <v>273</v>
      </c>
      <c r="D44" s="553">
        <v>2.8</v>
      </c>
      <c r="E44" s="560">
        <v>118586.87100243728</v>
      </c>
      <c r="F44" s="561">
        <f t="shared" ref="F44:F55" si="2">D44*E44</f>
        <v>332043.23880682437</v>
      </c>
      <c r="H44" s="579" t="e">
        <f>+F44*#REF!</f>
        <v>#REF!</v>
      </c>
    </row>
    <row r="45" spans="1:9">
      <c r="A45" s="556">
        <v>3</v>
      </c>
      <c r="B45" s="557" t="s">
        <v>912</v>
      </c>
      <c r="C45" s="566" t="s">
        <v>273</v>
      </c>
      <c r="D45" s="553">
        <v>29</v>
      </c>
      <c r="E45" s="560">
        <v>118586.87100243728</v>
      </c>
      <c r="F45" s="561">
        <f t="shared" si="2"/>
        <v>3439019.2590706814</v>
      </c>
      <c r="H45" s="579" t="e">
        <f>+F45*#REF!</f>
        <v>#REF!</v>
      </c>
    </row>
    <row r="46" spans="1:9">
      <c r="A46" s="556">
        <v>4</v>
      </c>
      <c r="B46" s="557" t="s">
        <v>943</v>
      </c>
      <c r="C46" s="566" t="s">
        <v>273</v>
      </c>
      <c r="D46" s="553">
        <v>7.6</v>
      </c>
      <c r="E46" s="560">
        <v>118586.87100243728</v>
      </c>
      <c r="F46" s="561">
        <f t="shared" si="2"/>
        <v>901260.21961852338</v>
      </c>
      <c r="H46" s="579" t="e">
        <f>+F46*#REF!</f>
        <v>#REF!</v>
      </c>
    </row>
    <row r="47" spans="1:9">
      <c r="A47" s="556">
        <v>5</v>
      </c>
      <c r="B47" s="557" t="s">
        <v>926</v>
      </c>
      <c r="C47" s="566" t="s">
        <v>273</v>
      </c>
      <c r="D47" s="553">
        <v>7</v>
      </c>
      <c r="E47" s="560">
        <v>118586.87100243728</v>
      </c>
      <c r="F47" s="561">
        <f t="shared" si="2"/>
        <v>830108.09701706097</v>
      </c>
      <c r="H47" s="579" t="e">
        <f>+F47*#REF!</f>
        <v>#REF!</v>
      </c>
    </row>
    <row r="48" spans="1:9">
      <c r="A48" s="556">
        <v>6</v>
      </c>
      <c r="B48" s="557" t="s">
        <v>944</v>
      </c>
      <c r="C48" s="566" t="s">
        <v>273</v>
      </c>
      <c r="D48" s="553">
        <v>13</v>
      </c>
      <c r="E48" s="560">
        <v>131362.13080743729</v>
      </c>
      <c r="F48" s="561">
        <f t="shared" si="2"/>
        <v>1707707.7004966848</v>
      </c>
      <c r="H48" s="579" t="e">
        <f>+F48*#REF!</f>
        <v>#REF!</v>
      </c>
    </row>
    <row r="49" spans="1:9">
      <c r="A49" s="556">
        <v>7</v>
      </c>
      <c r="B49" s="557" t="s">
        <v>945</v>
      </c>
      <c r="C49" s="566" t="s">
        <v>273</v>
      </c>
      <c r="D49" s="553">
        <v>7.28</v>
      </c>
      <c r="E49" s="560">
        <v>131362.13080743729</v>
      </c>
      <c r="F49" s="561">
        <f t="shared" si="2"/>
        <v>956316.31227814348</v>
      </c>
      <c r="H49" s="579" t="e">
        <f>+F49*#REF!</f>
        <v>#REF!</v>
      </c>
    </row>
    <row r="50" spans="1:9">
      <c r="A50" s="556">
        <v>8</v>
      </c>
      <c r="B50" s="557" t="s">
        <v>946</v>
      </c>
      <c r="C50" s="566" t="s">
        <v>273</v>
      </c>
      <c r="D50" s="553">
        <v>5.2</v>
      </c>
      <c r="E50" s="560">
        <v>131362.13080743729</v>
      </c>
      <c r="F50" s="561">
        <f t="shared" si="2"/>
        <v>683083.080198674</v>
      </c>
      <c r="H50" s="579" t="e">
        <f>+F50*#REF!</f>
        <v>#REF!</v>
      </c>
    </row>
    <row r="51" spans="1:9">
      <c r="A51" s="556">
        <v>9</v>
      </c>
      <c r="B51" s="557" t="s">
        <v>947</v>
      </c>
      <c r="C51" s="566" t="s">
        <v>273</v>
      </c>
      <c r="D51" s="553">
        <v>5.04</v>
      </c>
      <c r="E51" s="560">
        <v>229731.63130593731</v>
      </c>
      <c r="F51" s="561">
        <f t="shared" si="2"/>
        <v>1157847.4217819241</v>
      </c>
      <c r="H51" s="579" t="e">
        <f>+F51*#REF!</f>
        <v>#REF!</v>
      </c>
    </row>
    <row r="52" spans="1:9">
      <c r="A52" s="556">
        <v>10</v>
      </c>
      <c r="B52" s="562" t="s">
        <v>948</v>
      </c>
      <c r="C52" s="566" t="s">
        <v>210</v>
      </c>
      <c r="D52" s="553">
        <v>4</v>
      </c>
      <c r="E52" s="560">
        <v>6691.8027549999997</v>
      </c>
      <c r="F52" s="561">
        <f t="shared" si="2"/>
        <v>26767.211019999999</v>
      </c>
      <c r="H52" s="579" t="e">
        <f>+F52*#REF!</f>
        <v>#REF!</v>
      </c>
    </row>
    <row r="53" spans="1:9">
      <c r="A53" s="556">
        <v>11</v>
      </c>
      <c r="B53" s="562" t="s">
        <v>949</v>
      </c>
      <c r="C53" s="566" t="s">
        <v>210</v>
      </c>
      <c r="D53" s="553">
        <v>4</v>
      </c>
      <c r="E53" s="560">
        <v>973.35312799999997</v>
      </c>
      <c r="F53" s="561">
        <f t="shared" si="2"/>
        <v>3893.4125119999999</v>
      </c>
      <c r="H53" s="579" t="e">
        <f>+F53*#REF!</f>
        <v>#REF!</v>
      </c>
    </row>
    <row r="54" spans="1:9">
      <c r="A54" s="556">
        <v>12</v>
      </c>
      <c r="B54" s="562" t="s">
        <v>950</v>
      </c>
      <c r="C54" s="566" t="s">
        <v>210</v>
      </c>
      <c r="D54" s="553">
        <v>4</v>
      </c>
      <c r="E54" s="560">
        <v>340.67359479999999</v>
      </c>
      <c r="F54" s="561">
        <f t="shared" si="2"/>
        <v>1362.6943792</v>
      </c>
      <c r="H54" s="579" t="e">
        <f>+F54*#REF!</f>
        <v>#REF!</v>
      </c>
    </row>
    <row r="55" spans="1:9">
      <c r="A55" s="556">
        <v>13</v>
      </c>
      <c r="B55" s="557" t="s">
        <v>951</v>
      </c>
      <c r="C55" s="566" t="s">
        <v>918</v>
      </c>
      <c r="D55" s="553">
        <v>4</v>
      </c>
      <c r="E55" s="560">
        <v>1216.6914099999999</v>
      </c>
      <c r="F55" s="561">
        <f t="shared" si="2"/>
        <v>4866.7656399999996</v>
      </c>
      <c r="H55" s="579" t="e">
        <f>+F55*#REF!</f>
        <v>#REF!</v>
      </c>
    </row>
    <row r="56" spans="1:9">
      <c r="A56" s="550" t="s">
        <v>902</v>
      </c>
      <c r="B56" s="565" t="s">
        <v>336</v>
      </c>
      <c r="C56" s="564"/>
      <c r="D56" s="553">
        <v>0</v>
      </c>
      <c r="E56" s="554"/>
      <c r="F56" s="555">
        <f>SUM(F57:F69)</f>
        <v>11132218.726338301</v>
      </c>
      <c r="H56" s="555" t="e">
        <f>SUM(H57:H69)</f>
        <v>#REF!</v>
      </c>
      <c r="I56" s="580" t="e">
        <f>+H56/F56</f>
        <v>#REF!</v>
      </c>
    </row>
    <row r="57" spans="1:9">
      <c r="A57" s="556">
        <v>1</v>
      </c>
      <c r="B57" s="557" t="s">
        <v>952</v>
      </c>
      <c r="C57" s="567" t="s">
        <v>273</v>
      </c>
      <c r="D57" s="559">
        <v>0.4</v>
      </c>
      <c r="E57" s="560">
        <v>118586.87100243728</v>
      </c>
      <c r="F57" s="561">
        <f>D57*E57</f>
        <v>47434.748400974917</v>
      </c>
      <c r="H57" s="579" t="e">
        <f>+F57*#REF!</f>
        <v>#REF!</v>
      </c>
    </row>
    <row r="58" spans="1:9">
      <c r="A58" s="556">
        <v>2</v>
      </c>
      <c r="B58" s="557" t="s">
        <v>953</v>
      </c>
      <c r="C58" s="567" t="s">
        <v>273</v>
      </c>
      <c r="D58" s="559">
        <v>4.12</v>
      </c>
      <c r="E58" s="560">
        <v>118586.87100243728</v>
      </c>
      <c r="F58" s="561">
        <f t="shared" ref="F58:F69" si="3">D58*E58</f>
        <v>488577.90853004163</v>
      </c>
      <c r="H58" s="579" t="e">
        <f>+F58*#REF!</f>
        <v>#REF!</v>
      </c>
    </row>
    <row r="59" spans="1:9">
      <c r="A59" s="556">
        <v>3</v>
      </c>
      <c r="B59" s="557" t="s">
        <v>912</v>
      </c>
      <c r="C59" s="567" t="s">
        <v>273</v>
      </c>
      <c r="D59" s="559">
        <v>0.92</v>
      </c>
      <c r="E59" s="560">
        <v>118586.87100243728</v>
      </c>
      <c r="F59" s="561">
        <f t="shared" si="3"/>
        <v>109099.92132224231</v>
      </c>
      <c r="H59" s="579" t="e">
        <f>+F59*#REF!</f>
        <v>#REF!</v>
      </c>
    </row>
    <row r="60" spans="1:9">
      <c r="A60" s="556">
        <v>4</v>
      </c>
      <c r="B60" s="557" t="s">
        <v>954</v>
      </c>
      <c r="C60" s="567" t="s">
        <v>273</v>
      </c>
      <c r="D60" s="559">
        <v>19.03</v>
      </c>
      <c r="E60" s="560">
        <v>118586.87100243728</v>
      </c>
      <c r="F60" s="561">
        <f t="shared" si="3"/>
        <v>2256708.1551763816</v>
      </c>
      <c r="H60" s="579" t="e">
        <f>+F60*#REF!</f>
        <v>#REF!</v>
      </c>
    </row>
    <row r="61" spans="1:9">
      <c r="A61" s="556">
        <v>5</v>
      </c>
      <c r="B61" s="557" t="s">
        <v>943</v>
      </c>
      <c r="C61" s="567" t="s">
        <v>273</v>
      </c>
      <c r="D61" s="559">
        <v>32.93</v>
      </c>
      <c r="E61" s="560">
        <v>118586.87100243728</v>
      </c>
      <c r="F61" s="561">
        <f t="shared" si="3"/>
        <v>3905065.6621102598</v>
      </c>
      <c r="H61" s="579" t="e">
        <f>+F61*#REF!</f>
        <v>#REF!</v>
      </c>
    </row>
    <row r="62" spans="1:9">
      <c r="A62" s="556">
        <v>6</v>
      </c>
      <c r="B62" s="557" t="s">
        <v>955</v>
      </c>
      <c r="C62" s="567" t="s">
        <v>273</v>
      </c>
      <c r="D62" s="559">
        <v>14.6</v>
      </c>
      <c r="E62" s="560">
        <v>131362.13080743729</v>
      </c>
      <c r="F62" s="561">
        <f t="shared" si="3"/>
        <v>1917887.1097885845</v>
      </c>
      <c r="H62" s="579" t="e">
        <f>+F62*#REF!</f>
        <v>#REF!</v>
      </c>
    </row>
    <row r="63" spans="1:9">
      <c r="A63" s="556">
        <v>7</v>
      </c>
      <c r="B63" s="557" t="s">
        <v>956</v>
      </c>
      <c r="C63" s="567" t="s">
        <v>273</v>
      </c>
      <c r="D63" s="559">
        <v>14.6</v>
      </c>
      <c r="E63" s="560">
        <v>131362.13080743729</v>
      </c>
      <c r="F63" s="561">
        <f t="shared" si="3"/>
        <v>1917887.1097885845</v>
      </c>
      <c r="H63" s="579" t="e">
        <f>+F63*#REF!</f>
        <v>#REF!</v>
      </c>
    </row>
    <row r="64" spans="1:9">
      <c r="A64" s="556">
        <v>8</v>
      </c>
      <c r="B64" s="557" t="s">
        <v>957</v>
      </c>
      <c r="C64" s="567" t="s">
        <v>273</v>
      </c>
      <c r="D64" s="559">
        <v>1.1000000000000001</v>
      </c>
      <c r="E64" s="560">
        <v>229731.63130593731</v>
      </c>
      <c r="F64" s="561">
        <f t="shared" si="3"/>
        <v>252704.79443653105</v>
      </c>
      <c r="H64" s="579" t="e">
        <f>+F64*#REF!</f>
        <v>#REF!</v>
      </c>
    </row>
    <row r="65" spans="1:9">
      <c r="A65" s="556">
        <v>9</v>
      </c>
      <c r="B65" s="557" t="s">
        <v>958</v>
      </c>
      <c r="C65" s="567" t="s">
        <v>918</v>
      </c>
      <c r="D65" s="559">
        <v>5</v>
      </c>
      <c r="E65" s="560">
        <v>3321.5675492999999</v>
      </c>
      <c r="F65" s="561">
        <f t="shared" si="3"/>
        <v>16607.837746500001</v>
      </c>
      <c r="H65" s="579" t="e">
        <f>+F65*#REF!</f>
        <v>#REF!</v>
      </c>
    </row>
    <row r="66" spans="1:9">
      <c r="A66" s="556">
        <v>10</v>
      </c>
      <c r="B66" s="557" t="s">
        <v>959</v>
      </c>
      <c r="C66" s="567" t="s">
        <v>918</v>
      </c>
      <c r="D66" s="559">
        <v>1</v>
      </c>
      <c r="E66" s="560">
        <v>9855.2004209999996</v>
      </c>
      <c r="F66" s="561">
        <f t="shared" si="3"/>
        <v>9855.2004209999996</v>
      </c>
      <c r="H66" s="579" t="e">
        <f>+F66*#REF!</f>
        <v>#REF!</v>
      </c>
    </row>
    <row r="67" spans="1:9">
      <c r="A67" s="556">
        <v>11</v>
      </c>
      <c r="B67" s="557" t="s">
        <v>960</v>
      </c>
      <c r="C67" s="567" t="s">
        <v>918</v>
      </c>
      <c r="D67" s="559">
        <v>6</v>
      </c>
      <c r="E67" s="560">
        <v>10341.876984999999</v>
      </c>
      <c r="F67" s="561">
        <f t="shared" si="3"/>
        <v>62051.261909999994</v>
      </c>
      <c r="H67" s="579" t="e">
        <f>+F67*#REF!</f>
        <v>#REF!</v>
      </c>
    </row>
    <row r="68" spans="1:9">
      <c r="A68" s="556">
        <v>12</v>
      </c>
      <c r="B68" s="557" t="s">
        <v>961</v>
      </c>
      <c r="C68" s="567" t="s">
        <v>918</v>
      </c>
      <c r="D68" s="559">
        <v>6</v>
      </c>
      <c r="E68" s="560">
        <v>24333.8282</v>
      </c>
      <c r="F68" s="561">
        <f t="shared" si="3"/>
        <v>146002.96919999999</v>
      </c>
      <c r="H68" s="579" t="e">
        <f>+F68*#REF!</f>
        <v>#REF!</v>
      </c>
    </row>
    <row r="69" spans="1:9">
      <c r="A69" s="556">
        <v>13</v>
      </c>
      <c r="B69" s="557" t="s">
        <v>962</v>
      </c>
      <c r="C69" s="567" t="s">
        <v>210</v>
      </c>
      <c r="D69" s="559">
        <v>6</v>
      </c>
      <c r="E69" s="560">
        <v>389.34125119999999</v>
      </c>
      <c r="F69" s="561">
        <f t="shared" si="3"/>
        <v>2336.0475071999999</v>
      </c>
      <c r="H69" s="579" t="e">
        <f>+F69*#REF!</f>
        <v>#REF!</v>
      </c>
    </row>
    <row r="70" spans="1:9">
      <c r="A70" s="550" t="s">
        <v>903</v>
      </c>
      <c r="B70" s="565" t="s">
        <v>1000</v>
      </c>
      <c r="C70" s="564"/>
      <c r="D70" s="553">
        <v>0</v>
      </c>
      <c r="E70" s="554"/>
      <c r="F70" s="555">
        <f>SUM(F71:F73)</f>
        <v>3786165.5895592449</v>
      </c>
      <c r="H70" s="555" t="e">
        <f>SUM(H71:H73)</f>
        <v>#REF!</v>
      </c>
      <c r="I70" s="580" t="e">
        <f>+H70/F70</f>
        <v>#REF!</v>
      </c>
    </row>
    <row r="71" spans="1:9">
      <c r="A71" s="556">
        <v>1</v>
      </c>
      <c r="B71" s="557" t="s">
        <v>963</v>
      </c>
      <c r="C71" s="566" t="s">
        <v>273</v>
      </c>
      <c r="D71" s="553">
        <v>16.5</v>
      </c>
      <c r="E71" s="560">
        <v>142859.86463193729</v>
      </c>
      <c r="F71" s="561">
        <f>D71*E71</f>
        <v>2357187.7664269651</v>
      </c>
      <c r="H71" s="579" t="e">
        <f>+F71*#REF!</f>
        <v>#REF!</v>
      </c>
    </row>
    <row r="72" spans="1:9">
      <c r="A72" s="556">
        <v>2</v>
      </c>
      <c r="B72" s="557" t="s">
        <v>964</v>
      </c>
      <c r="C72" s="566" t="s">
        <v>273</v>
      </c>
      <c r="D72" s="553">
        <v>5.5</v>
      </c>
      <c r="E72" s="560">
        <v>142859.86463193729</v>
      </c>
      <c r="F72" s="561">
        <f>D72*E72</f>
        <v>785729.25547565508</v>
      </c>
      <c r="H72" s="579" t="e">
        <f>+F72*#REF!</f>
        <v>#REF!</v>
      </c>
    </row>
    <row r="73" spans="1:9">
      <c r="A73" s="556">
        <v>3</v>
      </c>
      <c r="B73" s="557" t="s">
        <v>957</v>
      </c>
      <c r="C73" s="566" t="s">
        <v>273</v>
      </c>
      <c r="D73" s="553">
        <v>2.8</v>
      </c>
      <c r="E73" s="560">
        <v>229731.63130593731</v>
      </c>
      <c r="F73" s="561">
        <f>D73*E73</f>
        <v>643248.56765662436</v>
      </c>
      <c r="H73" s="579" t="e">
        <f>+F73*#REF!</f>
        <v>#REF!</v>
      </c>
    </row>
    <row r="74" spans="1:9" ht="33">
      <c r="A74" s="550" t="s">
        <v>904</v>
      </c>
      <c r="B74" s="568" t="s">
        <v>1001</v>
      </c>
      <c r="C74" s="558"/>
      <c r="D74" s="559">
        <v>0</v>
      </c>
      <c r="E74" s="557"/>
      <c r="F74" s="555">
        <f>SUM(F75:F83)</f>
        <v>3669379.502345569</v>
      </c>
      <c r="H74" s="555" t="e">
        <f>SUM(H75:H83)</f>
        <v>#REF!</v>
      </c>
      <c r="I74" s="580" t="e">
        <f>+H74/F74</f>
        <v>#REF!</v>
      </c>
    </row>
    <row r="75" spans="1:9">
      <c r="A75" s="569">
        <v>1</v>
      </c>
      <c r="B75" s="562" t="s">
        <v>965</v>
      </c>
      <c r="C75" s="566" t="s">
        <v>273</v>
      </c>
      <c r="D75" s="553">
        <v>5.53</v>
      </c>
      <c r="E75" s="560">
        <v>118586.87100243728</v>
      </c>
      <c r="F75" s="561">
        <f>D75*E75</f>
        <v>655785.39664347819</v>
      </c>
      <c r="H75" s="579" t="e">
        <f>+F75*#REF!</f>
        <v>#REF!</v>
      </c>
    </row>
    <row r="76" spans="1:9">
      <c r="A76" s="569">
        <v>2</v>
      </c>
      <c r="B76" s="562" t="s">
        <v>966</v>
      </c>
      <c r="C76" s="566" t="s">
        <v>273</v>
      </c>
      <c r="D76" s="553">
        <v>14.47</v>
      </c>
      <c r="E76" s="560">
        <v>118586.87100243728</v>
      </c>
      <c r="F76" s="561">
        <f t="shared" ref="F76:F83" si="4">D76*E76</f>
        <v>1715952.0234052676</v>
      </c>
      <c r="H76" s="579" t="e">
        <f>+F76*#REF!</f>
        <v>#REF!</v>
      </c>
    </row>
    <row r="77" spans="1:9">
      <c r="A77" s="569">
        <v>3</v>
      </c>
      <c r="B77" s="562" t="s">
        <v>967</v>
      </c>
      <c r="C77" s="566" t="s">
        <v>273</v>
      </c>
      <c r="D77" s="553">
        <v>5</v>
      </c>
      <c r="E77" s="560">
        <v>131362.13080743729</v>
      </c>
      <c r="F77" s="561">
        <f t="shared" si="4"/>
        <v>656810.65403718641</v>
      </c>
      <c r="H77" s="579" t="e">
        <f>+F77*#REF!</f>
        <v>#REF!</v>
      </c>
    </row>
    <row r="78" spans="1:9">
      <c r="A78" s="569">
        <v>4</v>
      </c>
      <c r="B78" s="562" t="s">
        <v>968</v>
      </c>
      <c r="C78" s="566" t="s">
        <v>273</v>
      </c>
      <c r="D78" s="553">
        <v>2.5</v>
      </c>
      <c r="E78" s="560">
        <v>131362.13080743729</v>
      </c>
      <c r="F78" s="561">
        <f t="shared" si="4"/>
        <v>328405.32701859321</v>
      </c>
      <c r="H78" s="579" t="e">
        <f>+F78*#REF!</f>
        <v>#REF!</v>
      </c>
    </row>
    <row r="79" spans="1:9">
      <c r="A79" s="569">
        <v>5</v>
      </c>
      <c r="B79" s="562" t="s">
        <v>956</v>
      </c>
      <c r="C79" s="566" t="s">
        <v>273</v>
      </c>
      <c r="D79" s="553">
        <v>1.7</v>
      </c>
      <c r="E79" s="560">
        <v>131362.13080743729</v>
      </c>
      <c r="F79" s="561">
        <f t="shared" si="4"/>
        <v>223315.62237264338</v>
      </c>
      <c r="H79" s="579" t="e">
        <f>+F79*#REF!</f>
        <v>#REF!</v>
      </c>
    </row>
    <row r="80" spans="1:9">
      <c r="A80" s="569">
        <v>6</v>
      </c>
      <c r="B80" s="562" t="s">
        <v>969</v>
      </c>
      <c r="C80" s="566" t="s">
        <v>210</v>
      </c>
      <c r="D80" s="553">
        <v>8</v>
      </c>
      <c r="E80" s="560">
        <v>365.00742300000002</v>
      </c>
      <c r="F80" s="561">
        <f t="shared" si="4"/>
        <v>2920.0593840000001</v>
      </c>
      <c r="H80" s="579" t="e">
        <f>+F80*#REF!</f>
        <v>#REF!</v>
      </c>
    </row>
    <row r="81" spans="1:9">
      <c r="A81" s="569">
        <v>7</v>
      </c>
      <c r="B81" s="562" t="s">
        <v>970</v>
      </c>
      <c r="C81" s="566" t="s">
        <v>210</v>
      </c>
      <c r="D81" s="553">
        <v>8</v>
      </c>
      <c r="E81" s="560">
        <v>340.67359479999999</v>
      </c>
      <c r="F81" s="561">
        <f t="shared" si="4"/>
        <v>2725.3887583999999</v>
      </c>
      <c r="H81" s="579" t="e">
        <f>+F81*#REF!</f>
        <v>#REF!</v>
      </c>
    </row>
    <row r="82" spans="1:9">
      <c r="A82" s="569">
        <v>8</v>
      </c>
      <c r="B82" s="562" t="s">
        <v>949</v>
      </c>
      <c r="C82" s="566" t="s">
        <v>210</v>
      </c>
      <c r="D82" s="553">
        <v>16</v>
      </c>
      <c r="E82" s="560">
        <v>4988.4347809999999</v>
      </c>
      <c r="F82" s="561">
        <f t="shared" si="4"/>
        <v>79814.956495999999</v>
      </c>
      <c r="H82" s="579" t="e">
        <f>+F82*#REF!</f>
        <v>#REF!</v>
      </c>
    </row>
    <row r="83" spans="1:9">
      <c r="A83" s="569">
        <v>9</v>
      </c>
      <c r="B83" s="562" t="s">
        <v>971</v>
      </c>
      <c r="C83" s="566" t="s">
        <v>210</v>
      </c>
      <c r="D83" s="553">
        <v>4</v>
      </c>
      <c r="E83" s="560">
        <v>912.51855750000004</v>
      </c>
      <c r="F83" s="561">
        <f t="shared" si="4"/>
        <v>3650.0742300000002</v>
      </c>
      <c r="H83" s="579" t="e">
        <f>+F83*#REF!</f>
        <v>#REF!</v>
      </c>
    </row>
    <row r="84" spans="1:9">
      <c r="A84" s="550" t="s">
        <v>905</v>
      </c>
      <c r="B84" s="568" t="s">
        <v>972</v>
      </c>
      <c r="C84" s="564"/>
      <c r="D84" s="553">
        <v>0</v>
      </c>
      <c r="E84" s="554"/>
      <c r="F84" s="555">
        <f>SUM(F85:F91)</f>
        <v>7117370.6599739809</v>
      </c>
      <c r="H84" s="555" t="e">
        <f>SUM(H85:H91)</f>
        <v>#REF!</v>
      </c>
      <c r="I84" s="580" t="e">
        <f>+H84/F84</f>
        <v>#REF!</v>
      </c>
    </row>
    <row r="85" spans="1:9">
      <c r="A85" s="569">
        <v>1</v>
      </c>
      <c r="B85" s="557" t="s">
        <v>973</v>
      </c>
      <c r="C85" s="564" t="s">
        <v>273</v>
      </c>
      <c r="D85" s="553">
        <v>46.89</v>
      </c>
      <c r="E85" s="560">
        <v>118586.87100243728</v>
      </c>
      <c r="F85" s="561">
        <f>D85*E85</f>
        <v>5560538.3813042846</v>
      </c>
      <c r="H85" s="579" t="e">
        <f>+F85*#REF!</f>
        <v>#REF!</v>
      </c>
    </row>
    <row r="86" spans="1:9">
      <c r="A86" s="569">
        <v>2</v>
      </c>
      <c r="B86" s="557" t="s">
        <v>974</v>
      </c>
      <c r="C86" s="564" t="s">
        <v>273</v>
      </c>
      <c r="D86" s="553">
        <v>4.66</v>
      </c>
      <c r="E86" s="560">
        <v>118586.87100243728</v>
      </c>
      <c r="F86" s="561">
        <f t="shared" ref="F86:F91" si="5">D86*E86</f>
        <v>552614.81887135771</v>
      </c>
      <c r="H86" s="579" t="e">
        <f>+F86*#REF!</f>
        <v>#REF!</v>
      </c>
    </row>
    <row r="87" spans="1:9">
      <c r="A87" s="569">
        <v>3</v>
      </c>
      <c r="B87" s="557" t="s">
        <v>911</v>
      </c>
      <c r="C87" s="564" t="s">
        <v>273</v>
      </c>
      <c r="D87" s="553">
        <v>6.73</v>
      </c>
      <c r="E87" s="560">
        <v>118586.87100243728</v>
      </c>
      <c r="F87" s="561">
        <f t="shared" si="5"/>
        <v>798089.64184640301</v>
      </c>
      <c r="H87" s="579" t="e">
        <f>+F87*#REF!</f>
        <v>#REF!</v>
      </c>
    </row>
    <row r="88" spans="1:9">
      <c r="A88" s="569">
        <v>4</v>
      </c>
      <c r="B88" s="557" t="s">
        <v>975</v>
      </c>
      <c r="C88" s="564" t="s">
        <v>273</v>
      </c>
      <c r="D88" s="553">
        <v>1</v>
      </c>
      <c r="E88" s="560">
        <v>131362.13080743729</v>
      </c>
      <c r="F88" s="561">
        <f t="shared" si="5"/>
        <v>131362.13080743729</v>
      </c>
      <c r="H88" s="579" t="e">
        <f>+F88*#REF!</f>
        <v>#REF!</v>
      </c>
    </row>
    <row r="89" spans="1:9">
      <c r="A89" s="569">
        <v>5</v>
      </c>
      <c r="B89" s="557" t="s">
        <v>976</v>
      </c>
      <c r="C89" s="564" t="s">
        <v>210</v>
      </c>
      <c r="D89" s="553">
        <v>2</v>
      </c>
      <c r="E89" s="560">
        <v>15969.074756250002</v>
      </c>
      <c r="F89" s="561">
        <f t="shared" si="5"/>
        <v>31938.149512500004</v>
      </c>
      <c r="H89" s="579" t="e">
        <f>+F89*#REF!</f>
        <v>#REF!</v>
      </c>
    </row>
    <row r="90" spans="1:9">
      <c r="A90" s="569">
        <v>6</v>
      </c>
      <c r="B90" s="557" t="s">
        <v>977</v>
      </c>
      <c r="C90" s="564" t="s">
        <v>335</v>
      </c>
      <c r="D90" s="553">
        <v>1</v>
      </c>
      <c r="E90" s="560">
        <v>12166.9141</v>
      </c>
      <c r="F90" s="561">
        <f t="shared" si="5"/>
        <v>12166.9141</v>
      </c>
      <c r="H90" s="579" t="e">
        <f>+F90*#REF!</f>
        <v>#REF!</v>
      </c>
    </row>
    <row r="91" spans="1:9">
      <c r="A91" s="569">
        <v>7</v>
      </c>
      <c r="B91" s="557" t="s">
        <v>978</v>
      </c>
      <c r="C91" s="564" t="s">
        <v>918</v>
      </c>
      <c r="D91" s="553">
        <v>12</v>
      </c>
      <c r="E91" s="560">
        <v>2555.0519610000001</v>
      </c>
      <c r="F91" s="561">
        <f t="shared" si="5"/>
        <v>30660.623532000001</v>
      </c>
      <c r="H91" s="579" t="e">
        <f>+F91*#REF!</f>
        <v>#REF!</v>
      </c>
    </row>
    <row r="92" spans="1:9">
      <c r="A92" s="550" t="s">
        <v>906</v>
      </c>
      <c r="B92" s="568" t="s">
        <v>979</v>
      </c>
      <c r="C92" s="564"/>
      <c r="D92" s="553">
        <v>0</v>
      </c>
      <c r="E92" s="554"/>
      <c r="F92" s="555">
        <f>SUM(F93:F96)</f>
        <v>52380585.805275187</v>
      </c>
      <c r="H92" s="555" t="e">
        <f>SUM(H93:H96)</f>
        <v>#REF!</v>
      </c>
      <c r="I92" s="580" t="e">
        <f>+H92/F92</f>
        <v>#REF!</v>
      </c>
    </row>
    <row r="93" spans="1:9">
      <c r="A93" s="569">
        <v>1</v>
      </c>
      <c r="B93" s="557" t="s">
        <v>980</v>
      </c>
      <c r="C93" s="558" t="s">
        <v>273</v>
      </c>
      <c r="D93" s="570">
        <v>42.08</v>
      </c>
      <c r="E93" s="560">
        <v>29207.954216327329</v>
      </c>
      <c r="F93" s="561">
        <f>D93*E93</f>
        <v>1229070.713423054</v>
      </c>
      <c r="H93" s="579" t="e">
        <f>+F93*#REF!</f>
        <v>#REF!</v>
      </c>
    </row>
    <row r="94" spans="1:9">
      <c r="A94" s="569">
        <v>2</v>
      </c>
      <c r="B94" s="557" t="s">
        <v>981</v>
      </c>
      <c r="C94" s="558" t="s">
        <v>273</v>
      </c>
      <c r="D94" s="570">
        <v>534.79</v>
      </c>
      <c r="E94" s="560">
        <v>91806.72726082732</v>
      </c>
      <c r="F94" s="561">
        <f t="shared" ref="F94:F101" si="6">D94*E94</f>
        <v>49097319.671817839</v>
      </c>
      <c r="H94" s="579" t="e">
        <f>+F94*#REF!</f>
        <v>#REF!</v>
      </c>
    </row>
    <row r="95" spans="1:9" ht="33">
      <c r="A95" s="569">
        <v>3</v>
      </c>
      <c r="B95" s="557" t="s">
        <v>982</v>
      </c>
      <c r="C95" s="558" t="s">
        <v>273</v>
      </c>
      <c r="D95" s="570">
        <v>54.5</v>
      </c>
      <c r="E95" s="560">
        <v>29207.954216327329</v>
      </c>
      <c r="F95" s="561">
        <f t="shared" si="6"/>
        <v>1591833.5047898395</v>
      </c>
      <c r="H95" s="579" t="e">
        <f>+F95*#REF!</f>
        <v>#REF!</v>
      </c>
    </row>
    <row r="96" spans="1:9">
      <c r="A96" s="569">
        <v>4</v>
      </c>
      <c r="B96" s="557" t="s">
        <v>983</v>
      </c>
      <c r="C96" s="558" t="s">
        <v>273</v>
      </c>
      <c r="D96" s="570">
        <v>15.83</v>
      </c>
      <c r="E96" s="560">
        <v>29207.954216327329</v>
      </c>
      <c r="F96" s="561">
        <f t="shared" si="6"/>
        <v>462361.91524446162</v>
      </c>
      <c r="H96" s="579" t="e">
        <f>+F96*#REF!</f>
        <v>#REF!</v>
      </c>
    </row>
    <row r="97" spans="1:9">
      <c r="A97" s="550" t="s">
        <v>907</v>
      </c>
      <c r="B97" s="568" t="s">
        <v>984</v>
      </c>
      <c r="C97" s="564"/>
      <c r="D97" s="553">
        <v>0</v>
      </c>
      <c r="E97" s="560"/>
      <c r="F97" s="571">
        <f>SUM(F98:F101)</f>
        <v>39429594.675962582</v>
      </c>
      <c r="H97" s="571" t="e">
        <f>SUM(H98:H101)</f>
        <v>#REF!</v>
      </c>
      <c r="I97" s="580" t="e">
        <f>+H97/F97</f>
        <v>#REF!</v>
      </c>
    </row>
    <row r="98" spans="1:9">
      <c r="A98" s="569">
        <v>1</v>
      </c>
      <c r="B98" s="557" t="s">
        <v>980</v>
      </c>
      <c r="C98" s="564" t="s">
        <v>273</v>
      </c>
      <c r="D98" s="553">
        <v>30.28</v>
      </c>
      <c r="E98" s="560">
        <v>29207.954216327329</v>
      </c>
      <c r="F98" s="561">
        <f t="shared" si="6"/>
        <v>884416.8536703916</v>
      </c>
      <c r="H98" s="579" t="e">
        <f>+F98*#REF!</f>
        <v>#REF!</v>
      </c>
    </row>
    <row r="99" spans="1:9">
      <c r="A99" s="569">
        <v>2</v>
      </c>
      <c r="B99" s="557" t="s">
        <v>985</v>
      </c>
      <c r="C99" s="564" t="s">
        <v>273</v>
      </c>
      <c r="D99" s="553">
        <v>399.42</v>
      </c>
      <c r="E99" s="560">
        <v>91806.72726082732</v>
      </c>
      <c r="F99" s="561">
        <f t="shared" si="6"/>
        <v>36669443.002519652</v>
      </c>
      <c r="H99" s="579" t="e">
        <f>+F99*#REF!</f>
        <v>#REF!</v>
      </c>
    </row>
    <row r="100" spans="1:9" ht="33">
      <c r="A100" s="569">
        <v>3</v>
      </c>
      <c r="B100" s="557" t="s">
        <v>982</v>
      </c>
      <c r="C100" s="564" t="s">
        <v>273</v>
      </c>
      <c r="D100" s="553">
        <v>51.4</v>
      </c>
      <c r="E100" s="560">
        <v>29207.954216327329</v>
      </c>
      <c r="F100" s="561">
        <f t="shared" si="6"/>
        <v>1501288.8467192247</v>
      </c>
      <c r="H100" s="579" t="e">
        <f>+F100*#REF!</f>
        <v>#REF!</v>
      </c>
    </row>
    <row r="101" spans="1:9">
      <c r="A101" s="569">
        <v>4</v>
      </c>
      <c r="B101" s="557" t="s">
        <v>983</v>
      </c>
      <c r="C101" s="564" t="s">
        <v>273</v>
      </c>
      <c r="D101" s="553">
        <v>12.82</v>
      </c>
      <c r="E101" s="560">
        <v>29207.954216327329</v>
      </c>
      <c r="F101" s="561">
        <f t="shared" si="6"/>
        <v>374445.97305331635</v>
      </c>
      <c r="H101" s="579" t="e">
        <f>+F101*#REF!</f>
        <v>#REF!</v>
      </c>
    </row>
    <row r="102" spans="1:9">
      <c r="A102" s="785" t="s">
        <v>594</v>
      </c>
      <c r="B102" s="786"/>
      <c r="C102" s="786"/>
      <c r="D102" s="786"/>
      <c r="E102" s="786"/>
      <c r="F102" s="787"/>
    </row>
    <row r="103" spans="1:9">
      <c r="A103" s="550" t="s">
        <v>8</v>
      </c>
      <c r="B103" s="551" t="s">
        <v>908</v>
      </c>
      <c r="C103" s="552"/>
      <c r="D103" s="553"/>
      <c r="E103" s="554"/>
      <c r="F103" s="555">
        <f>SUM(F104:F115)</f>
        <v>294224988.72432816</v>
      </c>
    </row>
    <row r="104" spans="1:9">
      <c r="A104" s="556">
        <v>1</v>
      </c>
      <c r="B104" s="557" t="s">
        <v>909</v>
      </c>
      <c r="C104" s="558" t="s">
        <v>273</v>
      </c>
      <c r="D104" s="559">
        <v>2406.83</v>
      </c>
      <c r="E104" s="560">
        <v>118586.87100243727</v>
      </c>
      <c r="F104" s="561">
        <f>D104*E104</f>
        <v>285418438.73479611</v>
      </c>
    </row>
    <row r="105" spans="1:9">
      <c r="A105" s="556">
        <v>2</v>
      </c>
      <c r="B105" s="557" t="s">
        <v>910</v>
      </c>
      <c r="C105" s="558" t="s">
        <v>273</v>
      </c>
      <c r="D105" s="559">
        <v>4.0599999999999996</v>
      </c>
      <c r="E105" s="560">
        <v>118586.87100243727</v>
      </c>
      <c r="F105" s="561">
        <f t="shared" ref="F105:F115" si="7">D105*E105</f>
        <v>481462.6962698953</v>
      </c>
    </row>
    <row r="106" spans="1:9">
      <c r="A106" s="556">
        <v>3</v>
      </c>
      <c r="B106" s="557" t="s">
        <v>911</v>
      </c>
      <c r="C106" s="558" t="s">
        <v>273</v>
      </c>
      <c r="D106" s="559">
        <v>15.39</v>
      </c>
      <c r="E106" s="560">
        <v>118586.87100243727</v>
      </c>
      <c r="F106" s="561">
        <f t="shared" si="7"/>
        <v>1825051.9447275097</v>
      </c>
    </row>
    <row r="107" spans="1:9">
      <c r="A107" s="556">
        <v>4</v>
      </c>
      <c r="B107" s="557" t="s">
        <v>912</v>
      </c>
      <c r="C107" s="558" t="s">
        <v>273</v>
      </c>
      <c r="D107" s="559">
        <v>37.68</v>
      </c>
      <c r="E107" s="560">
        <v>118586.87100243727</v>
      </c>
      <c r="F107" s="561">
        <f t="shared" si="7"/>
        <v>4468353.2993718367</v>
      </c>
    </row>
    <row r="108" spans="1:9">
      <c r="A108" s="556">
        <v>5</v>
      </c>
      <c r="B108" s="557" t="s">
        <v>913</v>
      </c>
      <c r="C108" s="558" t="s">
        <v>273</v>
      </c>
      <c r="D108" s="559">
        <v>1</v>
      </c>
      <c r="E108" s="560">
        <v>131362.13080743729</v>
      </c>
      <c r="F108" s="561">
        <f t="shared" si="7"/>
        <v>131362.13080743729</v>
      </c>
    </row>
    <row r="109" spans="1:9">
      <c r="A109" s="556">
        <v>6</v>
      </c>
      <c r="B109" s="557" t="s">
        <v>914</v>
      </c>
      <c r="C109" s="558" t="s">
        <v>273</v>
      </c>
      <c r="D109" s="559">
        <v>1.5</v>
      </c>
      <c r="E109" s="560">
        <v>131362.13080743729</v>
      </c>
      <c r="F109" s="561">
        <f t="shared" si="7"/>
        <v>197043.19621115594</v>
      </c>
    </row>
    <row r="110" spans="1:9">
      <c r="A110" s="556">
        <v>7</v>
      </c>
      <c r="B110" s="557" t="s">
        <v>915</v>
      </c>
      <c r="C110" s="558" t="s">
        <v>916</v>
      </c>
      <c r="D110" s="559">
        <v>0.61</v>
      </c>
      <c r="E110" s="560">
        <v>1596907.475625</v>
      </c>
      <c r="F110" s="561">
        <f t="shared" si="7"/>
        <v>974113.56013124995</v>
      </c>
    </row>
    <row r="111" spans="1:9">
      <c r="A111" s="556">
        <v>8</v>
      </c>
      <c r="B111" s="557" t="s">
        <v>917</v>
      </c>
      <c r="C111" s="558" t="s">
        <v>918</v>
      </c>
      <c r="D111" s="559">
        <v>46</v>
      </c>
      <c r="E111" s="560">
        <v>3893.4125119999999</v>
      </c>
      <c r="F111" s="561">
        <f t="shared" si="7"/>
        <v>179096.97555199999</v>
      </c>
    </row>
    <row r="112" spans="1:9">
      <c r="A112" s="556">
        <v>9</v>
      </c>
      <c r="B112" s="557" t="s">
        <v>919</v>
      </c>
      <c r="C112" s="558" t="s">
        <v>918</v>
      </c>
      <c r="D112" s="559">
        <v>46</v>
      </c>
      <c r="E112" s="560">
        <v>10463.546125999999</v>
      </c>
      <c r="F112" s="561">
        <f t="shared" si="7"/>
        <v>481323.12179599999</v>
      </c>
    </row>
    <row r="113" spans="1:6">
      <c r="A113" s="556">
        <v>10</v>
      </c>
      <c r="B113" s="562" t="s">
        <v>920</v>
      </c>
      <c r="C113" s="558" t="s">
        <v>918</v>
      </c>
      <c r="D113" s="559">
        <v>4</v>
      </c>
      <c r="E113" s="560">
        <v>13991.951215000001</v>
      </c>
      <c r="F113" s="561">
        <f t="shared" si="7"/>
        <v>55967.804860000004</v>
      </c>
    </row>
    <row r="114" spans="1:6">
      <c r="A114" s="556">
        <v>11</v>
      </c>
      <c r="B114" s="562" t="s">
        <v>921</v>
      </c>
      <c r="C114" s="558" t="s">
        <v>918</v>
      </c>
      <c r="D114" s="559">
        <v>10</v>
      </c>
      <c r="E114" s="560">
        <v>1095.0222690000001</v>
      </c>
      <c r="F114" s="561">
        <f t="shared" si="7"/>
        <v>10950.222690000001</v>
      </c>
    </row>
    <row r="115" spans="1:6">
      <c r="A115" s="556">
        <v>12</v>
      </c>
      <c r="B115" s="562" t="s">
        <v>922</v>
      </c>
      <c r="C115" s="558" t="s">
        <v>918</v>
      </c>
      <c r="D115" s="559">
        <v>5</v>
      </c>
      <c r="E115" s="560">
        <v>365.00742300000002</v>
      </c>
      <c r="F115" s="561">
        <f t="shared" si="7"/>
        <v>1825.0371150000001</v>
      </c>
    </row>
    <row r="116" spans="1:6">
      <c r="A116" s="550" t="s">
        <v>313</v>
      </c>
      <c r="B116" s="563" t="s">
        <v>999</v>
      </c>
      <c r="C116" s="564"/>
      <c r="D116" s="553">
        <v>0</v>
      </c>
      <c r="E116" s="554"/>
      <c r="F116" s="555">
        <f>SUM(F117:F138)</f>
        <v>138841373.40755224</v>
      </c>
    </row>
    <row r="117" spans="1:6">
      <c r="A117" s="556">
        <v>1</v>
      </c>
      <c r="B117" s="554" t="s">
        <v>909</v>
      </c>
      <c r="C117" s="564" t="s">
        <v>273</v>
      </c>
      <c r="D117" s="553">
        <v>818.55</v>
      </c>
      <c r="E117" s="560">
        <v>118586.87100243728</v>
      </c>
      <c r="F117" s="561">
        <f>D117*E117</f>
        <v>97069283.259045035</v>
      </c>
    </row>
    <row r="118" spans="1:6">
      <c r="A118" s="556">
        <v>2</v>
      </c>
      <c r="B118" s="554" t="s">
        <v>910</v>
      </c>
      <c r="C118" s="564" t="s">
        <v>273</v>
      </c>
      <c r="D118" s="553">
        <v>33.85</v>
      </c>
      <c r="E118" s="560">
        <v>118586.87100243728</v>
      </c>
      <c r="F118" s="561">
        <f t="shared" ref="F118:F138" si="8">D118*E118</f>
        <v>4014165.5834325021</v>
      </c>
    </row>
    <row r="119" spans="1:6">
      <c r="A119" s="556">
        <v>3</v>
      </c>
      <c r="B119" s="554" t="s">
        <v>911</v>
      </c>
      <c r="C119" s="564" t="s">
        <v>273</v>
      </c>
      <c r="D119" s="553">
        <v>43.62</v>
      </c>
      <c r="E119" s="560">
        <v>118586.87100243728</v>
      </c>
      <c r="F119" s="561">
        <f t="shared" si="8"/>
        <v>5172759.3131263144</v>
      </c>
    </row>
    <row r="120" spans="1:6">
      <c r="A120" s="556">
        <v>4</v>
      </c>
      <c r="B120" s="554" t="s">
        <v>923</v>
      </c>
      <c r="C120" s="564" t="s">
        <v>273</v>
      </c>
      <c r="D120" s="553">
        <v>44.14</v>
      </c>
      <c r="E120" s="560">
        <v>118586.87100243728</v>
      </c>
      <c r="F120" s="561">
        <f t="shared" si="8"/>
        <v>5234424.4860475818</v>
      </c>
    </row>
    <row r="121" spans="1:6">
      <c r="A121" s="556">
        <v>5</v>
      </c>
      <c r="B121" s="554" t="s">
        <v>924</v>
      </c>
      <c r="C121" s="564" t="s">
        <v>273</v>
      </c>
      <c r="D121" s="553">
        <v>5.08</v>
      </c>
      <c r="E121" s="560">
        <v>118586.87100243728</v>
      </c>
      <c r="F121" s="561">
        <f t="shared" si="8"/>
        <v>602421.30469238141</v>
      </c>
    </row>
    <row r="122" spans="1:6">
      <c r="A122" s="556">
        <v>6</v>
      </c>
      <c r="B122" s="554" t="s">
        <v>925</v>
      </c>
      <c r="C122" s="564" t="s">
        <v>273</v>
      </c>
      <c r="D122" s="553">
        <v>12.61</v>
      </c>
      <c r="E122" s="560">
        <v>118586.87100243728</v>
      </c>
      <c r="F122" s="561">
        <f t="shared" si="8"/>
        <v>1495380.4433407341</v>
      </c>
    </row>
    <row r="123" spans="1:6">
      <c r="A123" s="556">
        <v>7</v>
      </c>
      <c r="B123" s="554" t="s">
        <v>926</v>
      </c>
      <c r="C123" s="564" t="s">
        <v>273</v>
      </c>
      <c r="D123" s="553">
        <v>120</v>
      </c>
      <c r="E123" s="560">
        <v>118586.87100243728</v>
      </c>
      <c r="F123" s="561">
        <f t="shared" si="8"/>
        <v>14230424.520292474</v>
      </c>
    </row>
    <row r="124" spans="1:6">
      <c r="A124" s="556">
        <v>8</v>
      </c>
      <c r="B124" s="554" t="s">
        <v>927</v>
      </c>
      <c r="C124" s="564" t="s">
        <v>273</v>
      </c>
      <c r="D124" s="553">
        <v>4</v>
      </c>
      <c r="E124" s="560">
        <v>131362.13080743729</v>
      </c>
      <c r="F124" s="561">
        <f t="shared" si="8"/>
        <v>525448.52322974917</v>
      </c>
    </row>
    <row r="125" spans="1:6">
      <c r="A125" s="556">
        <v>9</v>
      </c>
      <c r="B125" s="554" t="s">
        <v>928</v>
      </c>
      <c r="C125" s="564" t="s">
        <v>88</v>
      </c>
      <c r="D125" s="553">
        <v>0.32</v>
      </c>
      <c r="E125" s="560">
        <v>1213649.681475</v>
      </c>
      <c r="F125" s="561">
        <f t="shared" si="8"/>
        <v>388367.89807200001</v>
      </c>
    </row>
    <row r="126" spans="1:6">
      <c r="A126" s="556">
        <v>10</v>
      </c>
      <c r="B126" s="554" t="s">
        <v>929</v>
      </c>
      <c r="C126" s="564" t="s">
        <v>88</v>
      </c>
      <c r="D126" s="553">
        <v>1.83</v>
      </c>
      <c r="E126" s="560">
        <v>1405278.57855</v>
      </c>
      <c r="F126" s="561">
        <f t="shared" si="8"/>
        <v>2571659.7987465002</v>
      </c>
    </row>
    <row r="127" spans="1:6">
      <c r="A127" s="556">
        <v>11</v>
      </c>
      <c r="B127" s="554" t="s">
        <v>930</v>
      </c>
      <c r="C127" s="564" t="s">
        <v>90</v>
      </c>
      <c r="D127" s="553">
        <v>7.62</v>
      </c>
      <c r="E127" s="560">
        <v>485459.87259000004</v>
      </c>
      <c r="F127" s="561">
        <f t="shared" si="8"/>
        <v>3699204.2291358002</v>
      </c>
    </row>
    <row r="128" spans="1:6">
      <c r="A128" s="556">
        <v>12</v>
      </c>
      <c r="B128" s="554" t="s">
        <v>931</v>
      </c>
      <c r="C128" s="564" t="s">
        <v>90</v>
      </c>
      <c r="D128" s="553">
        <v>2.97</v>
      </c>
      <c r="E128" s="560">
        <v>664313.50985999999</v>
      </c>
      <c r="F128" s="561">
        <f t="shared" si="8"/>
        <v>1973011.1242842001</v>
      </c>
    </row>
    <row r="129" spans="1:6" ht="33">
      <c r="A129" s="556">
        <v>13</v>
      </c>
      <c r="B129" s="554" t="s">
        <v>932</v>
      </c>
      <c r="C129" s="564" t="s">
        <v>210</v>
      </c>
      <c r="D129" s="553">
        <v>30</v>
      </c>
      <c r="E129" s="560">
        <v>5475.1113450000003</v>
      </c>
      <c r="F129" s="561">
        <f t="shared" si="8"/>
        <v>164253.34035000001</v>
      </c>
    </row>
    <row r="130" spans="1:6" ht="33">
      <c r="A130" s="556">
        <v>14</v>
      </c>
      <c r="B130" s="554" t="s">
        <v>933</v>
      </c>
      <c r="C130" s="564" t="s">
        <v>210</v>
      </c>
      <c r="D130" s="553">
        <v>4</v>
      </c>
      <c r="E130" s="560">
        <v>13991.951215000001</v>
      </c>
      <c r="F130" s="561">
        <f t="shared" si="8"/>
        <v>55967.804860000004</v>
      </c>
    </row>
    <row r="131" spans="1:6">
      <c r="A131" s="556">
        <v>15</v>
      </c>
      <c r="B131" s="554" t="s">
        <v>934</v>
      </c>
      <c r="C131" s="564" t="s">
        <v>210</v>
      </c>
      <c r="D131" s="553">
        <v>2</v>
      </c>
      <c r="E131" s="560">
        <v>34067.359479999999</v>
      </c>
      <c r="F131" s="561">
        <f t="shared" si="8"/>
        <v>68134.718959999998</v>
      </c>
    </row>
    <row r="132" spans="1:6">
      <c r="A132" s="556">
        <v>16</v>
      </c>
      <c r="B132" s="554" t="s">
        <v>935</v>
      </c>
      <c r="C132" s="564" t="s">
        <v>210</v>
      </c>
      <c r="D132" s="553">
        <v>4</v>
      </c>
      <c r="E132" s="560">
        <v>30417.285250000001</v>
      </c>
      <c r="F132" s="561">
        <f t="shared" si="8"/>
        <v>121669.141</v>
      </c>
    </row>
    <row r="133" spans="1:6">
      <c r="A133" s="556">
        <v>17</v>
      </c>
      <c r="B133" s="554" t="s">
        <v>936</v>
      </c>
      <c r="C133" s="564" t="s">
        <v>210</v>
      </c>
      <c r="D133" s="553">
        <v>114</v>
      </c>
      <c r="E133" s="560">
        <v>4380.0890760000002</v>
      </c>
      <c r="F133" s="561">
        <f t="shared" si="8"/>
        <v>499330.15466400003</v>
      </c>
    </row>
    <row r="134" spans="1:6">
      <c r="A134" s="556">
        <v>18</v>
      </c>
      <c r="B134" s="554" t="s">
        <v>937</v>
      </c>
      <c r="C134" s="564" t="s">
        <v>210</v>
      </c>
      <c r="D134" s="553">
        <v>80</v>
      </c>
      <c r="E134" s="560">
        <v>10463.546126000001</v>
      </c>
      <c r="F134" s="561">
        <f t="shared" si="8"/>
        <v>837083.69008000009</v>
      </c>
    </row>
    <row r="135" spans="1:6">
      <c r="A135" s="556">
        <v>19</v>
      </c>
      <c r="B135" s="554" t="s">
        <v>938</v>
      </c>
      <c r="C135" s="564" t="s">
        <v>210</v>
      </c>
      <c r="D135" s="553">
        <v>114</v>
      </c>
      <c r="E135" s="560">
        <v>912.51855750000004</v>
      </c>
      <c r="F135" s="561">
        <f t="shared" si="8"/>
        <v>104027.11555500001</v>
      </c>
    </row>
    <row r="136" spans="1:6">
      <c r="A136" s="556">
        <v>20</v>
      </c>
      <c r="B136" s="554" t="s">
        <v>939</v>
      </c>
      <c r="C136" s="564" t="s">
        <v>210</v>
      </c>
      <c r="D136" s="553">
        <v>4</v>
      </c>
      <c r="E136" s="560">
        <v>365.00742300000002</v>
      </c>
      <c r="F136" s="561">
        <f t="shared" si="8"/>
        <v>1460.0296920000001</v>
      </c>
    </row>
    <row r="137" spans="1:6">
      <c r="A137" s="556">
        <v>21</v>
      </c>
      <c r="B137" s="554" t="s">
        <v>940</v>
      </c>
      <c r="C137" s="564" t="s">
        <v>210</v>
      </c>
      <c r="D137" s="553">
        <v>4</v>
      </c>
      <c r="E137" s="560">
        <v>1034.1876984999999</v>
      </c>
      <c r="F137" s="561">
        <f t="shared" si="8"/>
        <v>4136.7507939999996</v>
      </c>
    </row>
    <row r="138" spans="1:6">
      <c r="A138" s="556">
        <v>22</v>
      </c>
      <c r="B138" s="554" t="s">
        <v>941</v>
      </c>
      <c r="C138" s="564" t="s">
        <v>210</v>
      </c>
      <c r="D138" s="553">
        <v>8</v>
      </c>
      <c r="E138" s="560">
        <v>1095.0222690000001</v>
      </c>
      <c r="F138" s="561">
        <f t="shared" si="8"/>
        <v>8760.1781520000004</v>
      </c>
    </row>
    <row r="139" spans="1:6">
      <c r="A139" s="550" t="s">
        <v>337</v>
      </c>
      <c r="B139" s="565" t="s">
        <v>942</v>
      </c>
      <c r="C139" s="564"/>
      <c r="D139" s="553">
        <v>0</v>
      </c>
      <c r="E139" s="554"/>
      <c r="F139" s="555">
        <f>SUM(F140:F152)</f>
        <v>42920113.660825409</v>
      </c>
    </row>
    <row r="140" spans="1:6">
      <c r="A140" s="556">
        <v>1</v>
      </c>
      <c r="B140" s="557" t="s">
        <v>909</v>
      </c>
      <c r="C140" s="566" t="s">
        <v>273</v>
      </c>
      <c r="D140" s="553">
        <v>277.23</v>
      </c>
      <c r="E140" s="560">
        <v>118586.87100243728</v>
      </c>
      <c r="F140" s="561">
        <f>D140*E140</f>
        <v>32875838.248005692</v>
      </c>
    </row>
    <row r="141" spans="1:6">
      <c r="A141" s="556">
        <v>2</v>
      </c>
      <c r="B141" s="557" t="s">
        <v>911</v>
      </c>
      <c r="C141" s="566" t="s">
        <v>273</v>
      </c>
      <c r="D141" s="553">
        <v>2.8</v>
      </c>
      <c r="E141" s="560">
        <v>118586.87100243728</v>
      </c>
      <c r="F141" s="561">
        <f t="shared" ref="F141:F152" si="9">D141*E141</f>
        <v>332043.23880682437</v>
      </c>
    </row>
    <row r="142" spans="1:6">
      <c r="A142" s="556">
        <v>3</v>
      </c>
      <c r="B142" s="557" t="s">
        <v>912</v>
      </c>
      <c r="C142" s="566" t="s">
        <v>273</v>
      </c>
      <c r="D142" s="553">
        <v>29</v>
      </c>
      <c r="E142" s="560">
        <v>118586.87100243728</v>
      </c>
      <c r="F142" s="561">
        <f t="shared" si="9"/>
        <v>3439019.2590706814</v>
      </c>
    </row>
    <row r="143" spans="1:6">
      <c r="A143" s="556">
        <v>4</v>
      </c>
      <c r="B143" s="557" t="s">
        <v>943</v>
      </c>
      <c r="C143" s="566" t="s">
        <v>273</v>
      </c>
      <c r="D143" s="553">
        <v>7.6</v>
      </c>
      <c r="E143" s="560">
        <v>118586.87100243728</v>
      </c>
      <c r="F143" s="561">
        <f t="shared" si="9"/>
        <v>901260.21961852338</v>
      </c>
    </row>
    <row r="144" spans="1:6">
      <c r="A144" s="556">
        <v>5</v>
      </c>
      <c r="B144" s="557" t="s">
        <v>926</v>
      </c>
      <c r="C144" s="566" t="s">
        <v>273</v>
      </c>
      <c r="D144" s="553">
        <v>7</v>
      </c>
      <c r="E144" s="560">
        <v>118586.87100243728</v>
      </c>
      <c r="F144" s="561">
        <f t="shared" si="9"/>
        <v>830108.09701706097</v>
      </c>
    </row>
    <row r="145" spans="1:6">
      <c r="A145" s="556">
        <v>6</v>
      </c>
      <c r="B145" s="557" t="s">
        <v>944</v>
      </c>
      <c r="C145" s="566" t="s">
        <v>273</v>
      </c>
      <c r="D145" s="553">
        <v>13</v>
      </c>
      <c r="E145" s="560">
        <v>131362.13080743729</v>
      </c>
      <c r="F145" s="561">
        <f t="shared" si="9"/>
        <v>1707707.7004966848</v>
      </c>
    </row>
    <row r="146" spans="1:6">
      <c r="A146" s="556">
        <v>7</v>
      </c>
      <c r="B146" s="557" t="s">
        <v>945</v>
      </c>
      <c r="C146" s="566" t="s">
        <v>273</v>
      </c>
      <c r="D146" s="553">
        <v>7.28</v>
      </c>
      <c r="E146" s="560">
        <v>131362.13080743729</v>
      </c>
      <c r="F146" s="561">
        <f t="shared" si="9"/>
        <v>956316.31227814348</v>
      </c>
    </row>
    <row r="147" spans="1:6">
      <c r="A147" s="556">
        <v>8</v>
      </c>
      <c r="B147" s="557" t="s">
        <v>946</v>
      </c>
      <c r="C147" s="566" t="s">
        <v>273</v>
      </c>
      <c r="D147" s="553">
        <v>5.2</v>
      </c>
      <c r="E147" s="560">
        <v>131362.13080743729</v>
      </c>
      <c r="F147" s="561">
        <f t="shared" si="9"/>
        <v>683083.080198674</v>
      </c>
    </row>
    <row r="148" spans="1:6">
      <c r="A148" s="556">
        <v>9</v>
      </c>
      <c r="B148" s="557" t="s">
        <v>947</v>
      </c>
      <c r="C148" s="566" t="s">
        <v>273</v>
      </c>
      <c r="D148" s="553">
        <v>5.04</v>
      </c>
      <c r="E148" s="560">
        <v>229731.63130593731</v>
      </c>
      <c r="F148" s="561">
        <f t="shared" si="9"/>
        <v>1157847.4217819241</v>
      </c>
    </row>
    <row r="149" spans="1:6">
      <c r="A149" s="556">
        <v>10</v>
      </c>
      <c r="B149" s="562" t="s">
        <v>948</v>
      </c>
      <c r="C149" s="566" t="s">
        <v>210</v>
      </c>
      <c r="D149" s="553">
        <v>4</v>
      </c>
      <c r="E149" s="560">
        <v>6691.8027549999997</v>
      </c>
      <c r="F149" s="561">
        <f t="shared" si="9"/>
        <v>26767.211019999999</v>
      </c>
    </row>
    <row r="150" spans="1:6">
      <c r="A150" s="556">
        <v>11</v>
      </c>
      <c r="B150" s="562" t="s">
        <v>949</v>
      </c>
      <c r="C150" s="566" t="s">
        <v>210</v>
      </c>
      <c r="D150" s="553">
        <v>4</v>
      </c>
      <c r="E150" s="560">
        <v>973.35312799999997</v>
      </c>
      <c r="F150" s="561">
        <f t="shared" si="9"/>
        <v>3893.4125119999999</v>
      </c>
    </row>
    <row r="151" spans="1:6">
      <c r="A151" s="556">
        <v>12</v>
      </c>
      <c r="B151" s="562" t="s">
        <v>950</v>
      </c>
      <c r="C151" s="566" t="s">
        <v>210</v>
      </c>
      <c r="D151" s="553">
        <v>4</v>
      </c>
      <c r="E151" s="560">
        <v>340.67359479999999</v>
      </c>
      <c r="F151" s="561">
        <f t="shared" si="9"/>
        <v>1362.6943792</v>
      </c>
    </row>
    <row r="152" spans="1:6">
      <c r="A152" s="556">
        <v>13</v>
      </c>
      <c r="B152" s="557" t="s">
        <v>951</v>
      </c>
      <c r="C152" s="566" t="s">
        <v>918</v>
      </c>
      <c r="D152" s="553">
        <v>4</v>
      </c>
      <c r="E152" s="560">
        <v>1216.6914099999999</v>
      </c>
      <c r="F152" s="561">
        <f t="shared" si="9"/>
        <v>4866.7656399999996</v>
      </c>
    </row>
    <row r="153" spans="1:6">
      <c r="A153" s="550" t="s">
        <v>902</v>
      </c>
      <c r="B153" s="565" t="s">
        <v>336</v>
      </c>
      <c r="C153" s="564"/>
      <c r="D153" s="553">
        <v>0</v>
      </c>
      <c r="E153" s="554"/>
      <c r="F153" s="555">
        <f>SUM(F154:F166)</f>
        <v>11132218.726338301</v>
      </c>
    </row>
    <row r="154" spans="1:6">
      <c r="A154" s="556">
        <v>1</v>
      </c>
      <c r="B154" s="557" t="s">
        <v>952</v>
      </c>
      <c r="C154" s="567" t="s">
        <v>273</v>
      </c>
      <c r="D154" s="559">
        <v>0.4</v>
      </c>
      <c r="E154" s="560">
        <v>118586.87100243728</v>
      </c>
      <c r="F154" s="561">
        <f>D154*E154</f>
        <v>47434.748400974917</v>
      </c>
    </row>
    <row r="155" spans="1:6">
      <c r="A155" s="556">
        <v>2</v>
      </c>
      <c r="B155" s="557" t="s">
        <v>953</v>
      </c>
      <c r="C155" s="567" t="s">
        <v>273</v>
      </c>
      <c r="D155" s="559">
        <v>4.12</v>
      </c>
      <c r="E155" s="560">
        <v>118586.87100243728</v>
      </c>
      <c r="F155" s="561">
        <f t="shared" ref="F155:F166" si="10">D155*E155</f>
        <v>488577.90853004163</v>
      </c>
    </row>
    <row r="156" spans="1:6">
      <c r="A156" s="556">
        <v>3</v>
      </c>
      <c r="B156" s="557" t="s">
        <v>912</v>
      </c>
      <c r="C156" s="567" t="s">
        <v>273</v>
      </c>
      <c r="D156" s="559">
        <v>0.92</v>
      </c>
      <c r="E156" s="560">
        <v>118586.87100243728</v>
      </c>
      <c r="F156" s="561">
        <f t="shared" si="10"/>
        <v>109099.92132224231</v>
      </c>
    </row>
    <row r="157" spans="1:6">
      <c r="A157" s="556">
        <v>4</v>
      </c>
      <c r="B157" s="557" t="s">
        <v>954</v>
      </c>
      <c r="C157" s="567" t="s">
        <v>273</v>
      </c>
      <c r="D157" s="559">
        <v>19.03</v>
      </c>
      <c r="E157" s="560">
        <v>118586.87100243728</v>
      </c>
      <c r="F157" s="561">
        <f t="shared" si="10"/>
        <v>2256708.1551763816</v>
      </c>
    </row>
    <row r="158" spans="1:6">
      <c r="A158" s="556">
        <v>5</v>
      </c>
      <c r="B158" s="557" t="s">
        <v>943</v>
      </c>
      <c r="C158" s="567" t="s">
        <v>273</v>
      </c>
      <c r="D158" s="559">
        <v>32.93</v>
      </c>
      <c r="E158" s="560">
        <v>118586.87100243728</v>
      </c>
      <c r="F158" s="561">
        <f t="shared" si="10"/>
        <v>3905065.6621102598</v>
      </c>
    </row>
    <row r="159" spans="1:6">
      <c r="A159" s="556">
        <v>6</v>
      </c>
      <c r="B159" s="557" t="s">
        <v>955</v>
      </c>
      <c r="C159" s="567" t="s">
        <v>273</v>
      </c>
      <c r="D159" s="559">
        <v>14.6</v>
      </c>
      <c r="E159" s="560">
        <v>131362.13080743729</v>
      </c>
      <c r="F159" s="561">
        <f t="shared" si="10"/>
        <v>1917887.1097885845</v>
      </c>
    </row>
    <row r="160" spans="1:6">
      <c r="A160" s="556">
        <v>7</v>
      </c>
      <c r="B160" s="557" t="s">
        <v>956</v>
      </c>
      <c r="C160" s="567" t="s">
        <v>273</v>
      </c>
      <c r="D160" s="559">
        <v>14.6</v>
      </c>
      <c r="E160" s="560">
        <v>131362.13080743729</v>
      </c>
      <c r="F160" s="561">
        <f t="shared" si="10"/>
        <v>1917887.1097885845</v>
      </c>
    </row>
    <row r="161" spans="1:6">
      <c r="A161" s="556">
        <v>8</v>
      </c>
      <c r="B161" s="557" t="s">
        <v>957</v>
      </c>
      <c r="C161" s="567" t="s">
        <v>273</v>
      </c>
      <c r="D161" s="559">
        <v>1.1000000000000001</v>
      </c>
      <c r="E161" s="560">
        <v>229731.63130593731</v>
      </c>
      <c r="F161" s="561">
        <f t="shared" si="10"/>
        <v>252704.79443653105</v>
      </c>
    </row>
    <row r="162" spans="1:6">
      <c r="A162" s="556">
        <v>9</v>
      </c>
      <c r="B162" s="557" t="s">
        <v>958</v>
      </c>
      <c r="C162" s="567" t="s">
        <v>918</v>
      </c>
      <c r="D162" s="559">
        <v>5</v>
      </c>
      <c r="E162" s="560">
        <v>3321.5675492999999</v>
      </c>
      <c r="F162" s="561">
        <f t="shared" si="10"/>
        <v>16607.837746500001</v>
      </c>
    </row>
    <row r="163" spans="1:6">
      <c r="A163" s="556">
        <v>10</v>
      </c>
      <c r="B163" s="557" t="s">
        <v>959</v>
      </c>
      <c r="C163" s="567" t="s">
        <v>918</v>
      </c>
      <c r="D163" s="559">
        <v>1</v>
      </c>
      <c r="E163" s="560">
        <v>9855.2004209999996</v>
      </c>
      <c r="F163" s="561">
        <f t="shared" si="10"/>
        <v>9855.2004209999996</v>
      </c>
    </row>
    <row r="164" spans="1:6">
      <c r="A164" s="556">
        <v>11</v>
      </c>
      <c r="B164" s="557" t="s">
        <v>960</v>
      </c>
      <c r="C164" s="567" t="s">
        <v>918</v>
      </c>
      <c r="D164" s="559">
        <v>6</v>
      </c>
      <c r="E164" s="560">
        <v>10341.876984999999</v>
      </c>
      <c r="F164" s="561">
        <f t="shared" si="10"/>
        <v>62051.261909999994</v>
      </c>
    </row>
    <row r="165" spans="1:6">
      <c r="A165" s="556">
        <v>12</v>
      </c>
      <c r="B165" s="557" t="s">
        <v>961</v>
      </c>
      <c r="C165" s="567" t="s">
        <v>918</v>
      </c>
      <c r="D165" s="559">
        <v>6</v>
      </c>
      <c r="E165" s="560">
        <v>24333.8282</v>
      </c>
      <c r="F165" s="561">
        <f t="shared" si="10"/>
        <v>146002.96919999999</v>
      </c>
    </row>
    <row r="166" spans="1:6">
      <c r="A166" s="556">
        <v>13</v>
      </c>
      <c r="B166" s="557" t="s">
        <v>962</v>
      </c>
      <c r="C166" s="567" t="s">
        <v>210</v>
      </c>
      <c r="D166" s="559">
        <v>6</v>
      </c>
      <c r="E166" s="560">
        <v>389.34125119999999</v>
      </c>
      <c r="F166" s="561">
        <f t="shared" si="10"/>
        <v>2336.0475071999999</v>
      </c>
    </row>
    <row r="167" spans="1:6">
      <c r="A167" s="550" t="s">
        <v>903</v>
      </c>
      <c r="B167" s="565" t="s">
        <v>1000</v>
      </c>
      <c r="C167" s="564"/>
      <c r="D167" s="553">
        <v>0</v>
      </c>
      <c r="E167" s="554"/>
      <c r="F167" s="555">
        <f>SUM(F168:F170)</f>
        <v>3786165.5895592449</v>
      </c>
    </row>
    <row r="168" spans="1:6">
      <c r="A168" s="556">
        <v>1</v>
      </c>
      <c r="B168" s="557" t="s">
        <v>963</v>
      </c>
      <c r="C168" s="566" t="s">
        <v>273</v>
      </c>
      <c r="D168" s="553">
        <v>16.5</v>
      </c>
      <c r="E168" s="560">
        <v>142859.86463193729</v>
      </c>
      <c r="F168" s="561">
        <f>D168*E168</f>
        <v>2357187.7664269651</v>
      </c>
    </row>
    <row r="169" spans="1:6">
      <c r="A169" s="556">
        <v>2</v>
      </c>
      <c r="B169" s="557" t="s">
        <v>964</v>
      </c>
      <c r="C169" s="566" t="s">
        <v>273</v>
      </c>
      <c r="D169" s="553">
        <v>5.5</v>
      </c>
      <c r="E169" s="560">
        <v>142859.86463193729</v>
      </c>
      <c r="F169" s="561">
        <f>D169*E169</f>
        <v>785729.25547565508</v>
      </c>
    </row>
    <row r="170" spans="1:6">
      <c r="A170" s="556">
        <v>3</v>
      </c>
      <c r="B170" s="557" t="s">
        <v>957</v>
      </c>
      <c r="C170" s="566" t="s">
        <v>273</v>
      </c>
      <c r="D170" s="553">
        <v>2.8</v>
      </c>
      <c r="E170" s="560">
        <v>229731.63130593731</v>
      </c>
      <c r="F170" s="561">
        <f>D170*E170</f>
        <v>643248.56765662436</v>
      </c>
    </row>
    <row r="171" spans="1:6" ht="33">
      <c r="A171" s="550" t="s">
        <v>904</v>
      </c>
      <c r="B171" s="568" t="s">
        <v>1001</v>
      </c>
      <c r="C171" s="558"/>
      <c r="D171" s="559">
        <v>0</v>
      </c>
      <c r="E171" s="557"/>
      <c r="F171" s="555">
        <f>SUM(F172:F180)</f>
        <v>3669379.502345569</v>
      </c>
    </row>
    <row r="172" spans="1:6">
      <c r="A172" s="569">
        <v>1</v>
      </c>
      <c r="B172" s="562" t="s">
        <v>965</v>
      </c>
      <c r="C172" s="566" t="s">
        <v>273</v>
      </c>
      <c r="D172" s="553">
        <v>5.53</v>
      </c>
      <c r="E172" s="560">
        <v>118586.87100243728</v>
      </c>
      <c r="F172" s="561">
        <f>D172*E172</f>
        <v>655785.39664347819</v>
      </c>
    </row>
    <row r="173" spans="1:6">
      <c r="A173" s="569">
        <v>2</v>
      </c>
      <c r="B173" s="562" t="s">
        <v>966</v>
      </c>
      <c r="C173" s="566" t="s">
        <v>273</v>
      </c>
      <c r="D173" s="553">
        <v>14.47</v>
      </c>
      <c r="E173" s="560">
        <v>118586.87100243728</v>
      </c>
      <c r="F173" s="561">
        <f t="shared" ref="F173:F180" si="11">D173*E173</f>
        <v>1715952.0234052676</v>
      </c>
    </row>
    <row r="174" spans="1:6">
      <c r="A174" s="569">
        <v>3</v>
      </c>
      <c r="B174" s="562" t="s">
        <v>967</v>
      </c>
      <c r="C174" s="566" t="s">
        <v>273</v>
      </c>
      <c r="D174" s="553">
        <v>5</v>
      </c>
      <c r="E174" s="560">
        <v>131362.13080743729</v>
      </c>
      <c r="F174" s="561">
        <f t="shared" si="11"/>
        <v>656810.65403718641</v>
      </c>
    </row>
    <row r="175" spans="1:6">
      <c r="A175" s="569">
        <v>4</v>
      </c>
      <c r="B175" s="562" t="s">
        <v>968</v>
      </c>
      <c r="C175" s="566" t="s">
        <v>273</v>
      </c>
      <c r="D175" s="553">
        <v>2.5</v>
      </c>
      <c r="E175" s="560">
        <v>131362.13080743729</v>
      </c>
      <c r="F175" s="561">
        <f t="shared" si="11"/>
        <v>328405.32701859321</v>
      </c>
    </row>
    <row r="176" spans="1:6">
      <c r="A176" s="569">
        <v>5</v>
      </c>
      <c r="B176" s="562" t="s">
        <v>956</v>
      </c>
      <c r="C176" s="566" t="s">
        <v>273</v>
      </c>
      <c r="D176" s="553">
        <v>1.7</v>
      </c>
      <c r="E176" s="560">
        <v>131362.13080743729</v>
      </c>
      <c r="F176" s="561">
        <f t="shared" si="11"/>
        <v>223315.62237264338</v>
      </c>
    </row>
    <row r="177" spans="1:6">
      <c r="A177" s="569">
        <v>6</v>
      </c>
      <c r="B177" s="562" t="s">
        <v>969</v>
      </c>
      <c r="C177" s="566" t="s">
        <v>210</v>
      </c>
      <c r="D177" s="553">
        <v>8</v>
      </c>
      <c r="E177" s="560">
        <v>365.00742300000002</v>
      </c>
      <c r="F177" s="561">
        <f t="shared" si="11"/>
        <v>2920.0593840000001</v>
      </c>
    </row>
    <row r="178" spans="1:6">
      <c r="A178" s="569">
        <v>7</v>
      </c>
      <c r="B178" s="562" t="s">
        <v>970</v>
      </c>
      <c r="C178" s="566" t="s">
        <v>210</v>
      </c>
      <c r="D178" s="553">
        <v>8</v>
      </c>
      <c r="E178" s="560">
        <v>340.67359479999999</v>
      </c>
      <c r="F178" s="561">
        <f t="shared" si="11"/>
        <v>2725.3887583999999</v>
      </c>
    </row>
    <row r="179" spans="1:6">
      <c r="A179" s="569">
        <v>8</v>
      </c>
      <c r="B179" s="562" t="s">
        <v>949</v>
      </c>
      <c r="C179" s="566" t="s">
        <v>210</v>
      </c>
      <c r="D179" s="553">
        <v>16</v>
      </c>
      <c r="E179" s="560">
        <v>4988.4347809999999</v>
      </c>
      <c r="F179" s="561">
        <f t="shared" si="11"/>
        <v>79814.956495999999</v>
      </c>
    </row>
    <row r="180" spans="1:6">
      <c r="A180" s="569">
        <v>9</v>
      </c>
      <c r="B180" s="562" t="s">
        <v>971</v>
      </c>
      <c r="C180" s="566" t="s">
        <v>210</v>
      </c>
      <c r="D180" s="553">
        <v>4</v>
      </c>
      <c r="E180" s="560">
        <v>912.51855750000004</v>
      </c>
      <c r="F180" s="561">
        <f t="shared" si="11"/>
        <v>3650.0742300000002</v>
      </c>
    </row>
    <row r="181" spans="1:6">
      <c r="A181" s="550" t="s">
        <v>905</v>
      </c>
      <c r="B181" s="568" t="s">
        <v>972</v>
      </c>
      <c r="C181" s="564"/>
      <c r="D181" s="553">
        <v>0</v>
      </c>
      <c r="E181" s="554"/>
      <c r="F181" s="555">
        <f>SUM(F182:F188)</f>
        <v>7117370.6599739809</v>
      </c>
    </row>
    <row r="182" spans="1:6">
      <c r="A182" s="569">
        <v>1</v>
      </c>
      <c r="B182" s="557" t="s">
        <v>973</v>
      </c>
      <c r="C182" s="564" t="s">
        <v>273</v>
      </c>
      <c r="D182" s="553">
        <v>46.89</v>
      </c>
      <c r="E182" s="560">
        <v>118586.87100243728</v>
      </c>
      <c r="F182" s="561">
        <f>D182*E182</f>
        <v>5560538.3813042846</v>
      </c>
    </row>
    <row r="183" spans="1:6">
      <c r="A183" s="569">
        <v>2</v>
      </c>
      <c r="B183" s="557" t="s">
        <v>974</v>
      </c>
      <c r="C183" s="564" t="s">
        <v>273</v>
      </c>
      <c r="D183" s="553">
        <v>4.66</v>
      </c>
      <c r="E183" s="560">
        <v>118586.87100243728</v>
      </c>
      <c r="F183" s="561">
        <f t="shared" ref="F183:F188" si="12">D183*E183</f>
        <v>552614.81887135771</v>
      </c>
    </row>
    <row r="184" spans="1:6">
      <c r="A184" s="569">
        <v>3</v>
      </c>
      <c r="B184" s="557" t="s">
        <v>911</v>
      </c>
      <c r="C184" s="564" t="s">
        <v>273</v>
      </c>
      <c r="D184" s="553">
        <v>6.73</v>
      </c>
      <c r="E184" s="560">
        <v>118586.87100243728</v>
      </c>
      <c r="F184" s="561">
        <f t="shared" si="12"/>
        <v>798089.64184640301</v>
      </c>
    </row>
    <row r="185" spans="1:6">
      <c r="A185" s="569">
        <v>4</v>
      </c>
      <c r="B185" s="557" t="s">
        <v>975</v>
      </c>
      <c r="C185" s="564" t="s">
        <v>273</v>
      </c>
      <c r="D185" s="553">
        <v>1</v>
      </c>
      <c r="E185" s="560">
        <v>131362.13080743729</v>
      </c>
      <c r="F185" s="561">
        <f t="shared" si="12"/>
        <v>131362.13080743729</v>
      </c>
    </row>
    <row r="186" spans="1:6">
      <c r="A186" s="569">
        <v>5</v>
      </c>
      <c r="B186" s="557" t="s">
        <v>976</v>
      </c>
      <c r="C186" s="564" t="s">
        <v>210</v>
      </c>
      <c r="D186" s="553">
        <v>2</v>
      </c>
      <c r="E186" s="560">
        <v>15969.074756250002</v>
      </c>
      <c r="F186" s="561">
        <f t="shared" si="12"/>
        <v>31938.149512500004</v>
      </c>
    </row>
    <row r="187" spans="1:6">
      <c r="A187" s="569">
        <v>6</v>
      </c>
      <c r="B187" s="557" t="s">
        <v>977</v>
      </c>
      <c r="C187" s="564" t="s">
        <v>335</v>
      </c>
      <c r="D187" s="553">
        <v>1</v>
      </c>
      <c r="E187" s="560">
        <v>12166.9141</v>
      </c>
      <c r="F187" s="561">
        <f t="shared" si="12"/>
        <v>12166.9141</v>
      </c>
    </row>
    <row r="188" spans="1:6">
      <c r="A188" s="569">
        <v>7</v>
      </c>
      <c r="B188" s="557" t="s">
        <v>978</v>
      </c>
      <c r="C188" s="564" t="s">
        <v>918</v>
      </c>
      <c r="D188" s="553">
        <v>12</v>
      </c>
      <c r="E188" s="560">
        <v>2555.0519610000001</v>
      </c>
      <c r="F188" s="561">
        <f t="shared" si="12"/>
        <v>30660.623532000001</v>
      </c>
    </row>
    <row r="189" spans="1:6">
      <c r="A189" s="550" t="s">
        <v>906</v>
      </c>
      <c r="B189" s="568" t="s">
        <v>979</v>
      </c>
      <c r="C189" s="564"/>
      <c r="D189" s="553">
        <v>0</v>
      </c>
      <c r="E189" s="554"/>
      <c r="F189" s="555">
        <f>SUM(F190:F193)</f>
        <v>52380585.805275187</v>
      </c>
    </row>
    <row r="190" spans="1:6">
      <c r="A190" s="569">
        <v>1</v>
      </c>
      <c r="B190" s="557" t="s">
        <v>980</v>
      </c>
      <c r="C190" s="558" t="s">
        <v>273</v>
      </c>
      <c r="D190" s="570">
        <v>42.08</v>
      </c>
      <c r="E190" s="560">
        <v>29207.954216327329</v>
      </c>
      <c r="F190" s="561">
        <f>D190*E190</f>
        <v>1229070.713423054</v>
      </c>
    </row>
    <row r="191" spans="1:6">
      <c r="A191" s="569">
        <v>2</v>
      </c>
      <c r="B191" s="557" t="s">
        <v>981</v>
      </c>
      <c r="C191" s="558" t="s">
        <v>273</v>
      </c>
      <c r="D191" s="570">
        <v>534.79</v>
      </c>
      <c r="E191" s="560">
        <v>91806.72726082732</v>
      </c>
      <c r="F191" s="561">
        <f>D191*E191</f>
        <v>49097319.671817839</v>
      </c>
    </row>
    <row r="192" spans="1:6" ht="33">
      <c r="A192" s="569">
        <v>3</v>
      </c>
      <c r="B192" s="557" t="s">
        <v>982</v>
      </c>
      <c r="C192" s="558" t="s">
        <v>273</v>
      </c>
      <c r="D192" s="570">
        <v>54.5</v>
      </c>
      <c r="E192" s="560">
        <v>29207.954216327329</v>
      </c>
      <c r="F192" s="561">
        <f>D192*E192</f>
        <v>1591833.5047898395</v>
      </c>
    </row>
    <row r="193" spans="1:6">
      <c r="A193" s="569">
        <v>4</v>
      </c>
      <c r="B193" s="557" t="s">
        <v>983</v>
      </c>
      <c r="C193" s="558" t="s">
        <v>273</v>
      </c>
      <c r="D193" s="570">
        <v>15.83</v>
      </c>
      <c r="E193" s="560">
        <v>29207.954216327329</v>
      </c>
      <c r="F193" s="561">
        <f>D193*E193</f>
        <v>462361.91524446162</v>
      </c>
    </row>
    <row r="194" spans="1:6">
      <c r="A194" s="550" t="s">
        <v>907</v>
      </c>
      <c r="B194" s="568" t="s">
        <v>984</v>
      </c>
      <c r="C194" s="564"/>
      <c r="D194" s="553">
        <v>0</v>
      </c>
      <c r="E194" s="560"/>
      <c r="F194" s="571">
        <f>SUM(F195:F198)</f>
        <v>39429594.675962582</v>
      </c>
    </row>
    <row r="195" spans="1:6">
      <c r="A195" s="569">
        <v>1</v>
      </c>
      <c r="B195" s="557" t="s">
        <v>980</v>
      </c>
      <c r="C195" s="564" t="s">
        <v>273</v>
      </c>
      <c r="D195" s="553">
        <v>30.28</v>
      </c>
      <c r="E195" s="560">
        <v>29207.954216327329</v>
      </c>
      <c r="F195" s="561">
        <f>D195*E195</f>
        <v>884416.8536703916</v>
      </c>
    </row>
    <row r="196" spans="1:6">
      <c r="A196" s="569">
        <v>2</v>
      </c>
      <c r="B196" s="557" t="s">
        <v>985</v>
      </c>
      <c r="C196" s="564" t="s">
        <v>273</v>
      </c>
      <c r="D196" s="553">
        <v>399.42</v>
      </c>
      <c r="E196" s="560">
        <v>91806.72726082732</v>
      </c>
      <c r="F196" s="561">
        <f>D196*E196</f>
        <v>36669443.002519652</v>
      </c>
    </row>
    <row r="197" spans="1:6" ht="33">
      <c r="A197" s="569">
        <v>3</v>
      </c>
      <c r="B197" s="557" t="s">
        <v>982</v>
      </c>
      <c r="C197" s="564" t="s">
        <v>273</v>
      </c>
      <c r="D197" s="553">
        <v>51.4</v>
      </c>
      <c r="E197" s="560">
        <v>29207.954216327329</v>
      </c>
      <c r="F197" s="561">
        <f>D197*E197</f>
        <v>1501288.8467192247</v>
      </c>
    </row>
    <row r="198" spans="1:6">
      <c r="A198" s="569">
        <v>4</v>
      </c>
      <c r="B198" s="557" t="s">
        <v>983</v>
      </c>
      <c r="C198" s="564" t="s">
        <v>273</v>
      </c>
      <c r="D198" s="553">
        <v>12.82</v>
      </c>
      <c r="E198" s="560">
        <v>29207.954216327329</v>
      </c>
      <c r="F198" s="561">
        <f>D198*E198</f>
        <v>374445.97305331635</v>
      </c>
    </row>
    <row r="199" spans="1:6">
      <c r="A199" s="785" t="s">
        <v>730</v>
      </c>
      <c r="B199" s="786"/>
      <c r="C199" s="786"/>
      <c r="D199" s="786"/>
      <c r="E199" s="786"/>
      <c r="F199" s="787"/>
    </row>
    <row r="200" spans="1:6">
      <c r="A200" s="550" t="s">
        <v>8</v>
      </c>
      <c r="B200" s="551" t="s">
        <v>908</v>
      </c>
      <c r="C200" s="552"/>
      <c r="D200" s="553"/>
      <c r="E200" s="554"/>
      <c r="F200" s="555">
        <f>SUM(F201:F212)</f>
        <v>164689937.90416667</v>
      </c>
    </row>
    <row r="201" spans="1:6">
      <c r="A201" s="556">
        <v>1</v>
      </c>
      <c r="B201" s="557" t="s">
        <v>909</v>
      </c>
      <c r="C201" s="558" t="s">
        <v>273</v>
      </c>
      <c r="D201" s="559">
        <v>1310.69</v>
      </c>
      <c r="E201" s="560">
        <v>119864.39698293729</v>
      </c>
      <c r="F201" s="561">
        <f>D201*E201</f>
        <v>157105066.4815661</v>
      </c>
    </row>
    <row r="202" spans="1:6">
      <c r="A202" s="556">
        <v>2</v>
      </c>
      <c r="B202" s="557" t="s">
        <v>910</v>
      </c>
      <c r="C202" s="558" t="s">
        <v>273</v>
      </c>
      <c r="D202" s="559">
        <v>3.05</v>
      </c>
      <c r="E202" s="560">
        <v>119864.39698293729</v>
      </c>
      <c r="F202" s="561">
        <f t="shared" ref="F202:F212" si="13">D202*E202</f>
        <v>365586.41079795873</v>
      </c>
    </row>
    <row r="203" spans="1:6">
      <c r="A203" s="556">
        <v>3</v>
      </c>
      <c r="B203" s="557" t="s">
        <v>911</v>
      </c>
      <c r="C203" s="558" t="s">
        <v>273</v>
      </c>
      <c r="D203" s="559">
        <v>6.76</v>
      </c>
      <c r="E203" s="560">
        <v>119864.39698293729</v>
      </c>
      <c r="F203" s="561">
        <f t="shared" si="13"/>
        <v>810283.32360465603</v>
      </c>
    </row>
    <row r="204" spans="1:6">
      <c r="A204" s="556">
        <v>4</v>
      </c>
      <c r="B204" s="557" t="s">
        <v>912</v>
      </c>
      <c r="C204" s="558" t="s">
        <v>273</v>
      </c>
      <c r="D204" s="559">
        <v>37.68</v>
      </c>
      <c r="E204" s="560">
        <v>119864.39698293729</v>
      </c>
      <c r="F204" s="561">
        <f t="shared" si="13"/>
        <v>4516490.4783170773</v>
      </c>
    </row>
    <row r="205" spans="1:6">
      <c r="A205" s="556">
        <v>5</v>
      </c>
      <c r="B205" s="557" t="s">
        <v>913</v>
      </c>
      <c r="C205" s="558" t="s">
        <v>273</v>
      </c>
      <c r="D205" s="559">
        <v>1.1399999999999999</v>
      </c>
      <c r="E205" s="560">
        <v>131362.13080743729</v>
      </c>
      <c r="F205" s="561">
        <f t="shared" si="13"/>
        <v>149752.82912047851</v>
      </c>
    </row>
    <row r="206" spans="1:6">
      <c r="A206" s="556">
        <v>6</v>
      </c>
      <c r="B206" s="557" t="s">
        <v>914</v>
      </c>
      <c r="C206" s="558" t="s">
        <v>273</v>
      </c>
      <c r="D206" s="559">
        <v>1.5</v>
      </c>
      <c r="E206" s="560">
        <v>131362.13080743729</v>
      </c>
      <c r="F206" s="561">
        <f t="shared" si="13"/>
        <v>197043.19621115594</v>
      </c>
    </row>
    <row r="207" spans="1:6">
      <c r="A207" s="556">
        <v>7</v>
      </c>
      <c r="B207" s="557" t="s">
        <v>915</v>
      </c>
      <c r="C207" s="558" t="s">
        <v>916</v>
      </c>
      <c r="D207" s="559">
        <v>0.61</v>
      </c>
      <c r="E207" s="560">
        <v>1596907.475625</v>
      </c>
      <c r="F207" s="561">
        <f t="shared" si="13"/>
        <v>974113.56013124995</v>
      </c>
    </row>
    <row r="208" spans="1:6">
      <c r="A208" s="556">
        <v>8</v>
      </c>
      <c r="B208" s="557" t="s">
        <v>917</v>
      </c>
      <c r="C208" s="558" t="s">
        <v>918</v>
      </c>
      <c r="D208" s="559">
        <v>36</v>
      </c>
      <c r="E208" s="560">
        <v>3893.4125119999999</v>
      </c>
      <c r="F208" s="561">
        <f t="shared" si="13"/>
        <v>140162.85043200001</v>
      </c>
    </row>
    <row r="209" spans="1:6">
      <c r="A209" s="556">
        <v>9</v>
      </c>
      <c r="B209" s="557" t="s">
        <v>919</v>
      </c>
      <c r="C209" s="558" t="s">
        <v>918</v>
      </c>
      <c r="D209" s="559">
        <v>36</v>
      </c>
      <c r="E209" s="560">
        <v>10463.546125999999</v>
      </c>
      <c r="F209" s="561">
        <f t="shared" si="13"/>
        <v>376687.66053599998</v>
      </c>
    </row>
    <row r="210" spans="1:6">
      <c r="A210" s="556">
        <v>10</v>
      </c>
      <c r="B210" s="562" t="s">
        <v>920</v>
      </c>
      <c r="C210" s="558" t="s">
        <v>918</v>
      </c>
      <c r="D210" s="559">
        <v>3</v>
      </c>
      <c r="E210" s="560">
        <v>13991.951215000001</v>
      </c>
      <c r="F210" s="561">
        <f t="shared" si="13"/>
        <v>41975.853645000003</v>
      </c>
    </row>
    <row r="211" spans="1:6">
      <c r="A211" s="556">
        <v>11</v>
      </c>
      <c r="B211" s="562" t="s">
        <v>921</v>
      </c>
      <c r="C211" s="558" t="s">
        <v>918</v>
      </c>
      <c r="D211" s="559">
        <v>10</v>
      </c>
      <c r="E211" s="560">
        <v>1095.0222690000001</v>
      </c>
      <c r="F211" s="561">
        <f t="shared" si="13"/>
        <v>10950.222690000001</v>
      </c>
    </row>
    <row r="212" spans="1:6">
      <c r="A212" s="556">
        <v>12</v>
      </c>
      <c r="B212" s="562" t="s">
        <v>922</v>
      </c>
      <c r="C212" s="558" t="s">
        <v>918</v>
      </c>
      <c r="D212" s="559">
        <v>5</v>
      </c>
      <c r="E212" s="560">
        <v>365.00742300000002</v>
      </c>
      <c r="F212" s="561">
        <f t="shared" si="13"/>
        <v>1825.0371150000001</v>
      </c>
    </row>
    <row r="213" spans="1:6">
      <c r="A213" s="550" t="s">
        <v>313</v>
      </c>
      <c r="B213" s="563" t="s">
        <v>999</v>
      </c>
      <c r="C213" s="564"/>
      <c r="D213" s="553">
        <v>0</v>
      </c>
      <c r="E213" s="554"/>
      <c r="F213" s="555">
        <f>SUM(F214:F235)</f>
        <v>121763001.76108152</v>
      </c>
    </row>
    <row r="214" spans="1:6">
      <c r="A214" s="556">
        <v>1</v>
      </c>
      <c r="B214" s="554" t="s">
        <v>909</v>
      </c>
      <c r="C214" s="564" t="s">
        <v>273</v>
      </c>
      <c r="D214" s="553">
        <v>724.24</v>
      </c>
      <c r="E214" s="560">
        <v>119864.39698293729</v>
      </c>
      <c r="F214" s="561">
        <f>D214*E214</f>
        <v>86810590.870922506</v>
      </c>
    </row>
    <row r="215" spans="1:6">
      <c r="A215" s="556">
        <v>2</v>
      </c>
      <c r="B215" s="554" t="s">
        <v>910</v>
      </c>
      <c r="C215" s="564" t="s">
        <v>273</v>
      </c>
      <c r="D215" s="553">
        <v>22.51</v>
      </c>
      <c r="E215" s="560">
        <v>119864.39698293729</v>
      </c>
      <c r="F215" s="561">
        <f t="shared" ref="F215:F235" si="14">D215*E215</f>
        <v>2698147.5760859186</v>
      </c>
    </row>
    <row r="216" spans="1:6">
      <c r="A216" s="556">
        <v>3</v>
      </c>
      <c r="B216" s="554" t="s">
        <v>911</v>
      </c>
      <c r="C216" s="564" t="s">
        <v>273</v>
      </c>
      <c r="D216" s="553">
        <v>15.17</v>
      </c>
      <c r="E216" s="560">
        <v>119864.39698293729</v>
      </c>
      <c r="F216" s="561">
        <f t="shared" si="14"/>
        <v>1818342.9022311587</v>
      </c>
    </row>
    <row r="217" spans="1:6">
      <c r="A217" s="556">
        <v>4</v>
      </c>
      <c r="B217" s="554" t="s">
        <v>923</v>
      </c>
      <c r="C217" s="564" t="s">
        <v>273</v>
      </c>
      <c r="D217" s="553">
        <v>78.72</v>
      </c>
      <c r="E217" s="560">
        <v>119864.39698293729</v>
      </c>
      <c r="F217" s="561">
        <f t="shared" si="14"/>
        <v>9435725.3304968234</v>
      </c>
    </row>
    <row r="218" spans="1:6">
      <c r="A218" s="556">
        <v>5</v>
      </c>
      <c r="B218" s="554" t="s">
        <v>924</v>
      </c>
      <c r="C218" s="564" t="s">
        <v>273</v>
      </c>
      <c r="D218" s="553">
        <v>5.08</v>
      </c>
      <c r="E218" s="560">
        <v>119864.39698293729</v>
      </c>
      <c r="F218" s="561">
        <f t="shared" si="14"/>
        <v>608911.13667332148</v>
      </c>
    </row>
    <row r="219" spans="1:6">
      <c r="A219" s="556">
        <v>6</v>
      </c>
      <c r="B219" s="554" t="s">
        <v>925</v>
      </c>
      <c r="C219" s="564" t="s">
        <v>273</v>
      </c>
      <c r="D219" s="553">
        <v>12.61</v>
      </c>
      <c r="E219" s="560">
        <v>119864.39698293729</v>
      </c>
      <c r="F219" s="561">
        <f t="shared" si="14"/>
        <v>1511490.0459548393</v>
      </c>
    </row>
    <row r="220" spans="1:6">
      <c r="A220" s="556">
        <v>7</v>
      </c>
      <c r="B220" s="554" t="s">
        <v>926</v>
      </c>
      <c r="C220" s="564" t="s">
        <v>273</v>
      </c>
      <c r="D220" s="553">
        <v>84.03</v>
      </c>
      <c r="E220" s="560">
        <v>119864.39698293729</v>
      </c>
      <c r="F220" s="561">
        <f t="shared" si="14"/>
        <v>10072205.278476221</v>
      </c>
    </row>
    <row r="221" spans="1:6">
      <c r="A221" s="556">
        <v>8</v>
      </c>
      <c r="B221" s="554" t="s">
        <v>927</v>
      </c>
      <c r="C221" s="564" t="s">
        <v>273</v>
      </c>
      <c r="D221" s="553">
        <v>4</v>
      </c>
      <c r="E221" s="560">
        <v>131362.13080743729</v>
      </c>
      <c r="F221" s="561">
        <f t="shared" si="14"/>
        <v>525448.52322974917</v>
      </c>
    </row>
    <row r="222" spans="1:6">
      <c r="A222" s="556">
        <v>9</v>
      </c>
      <c r="B222" s="554" t="s">
        <v>928</v>
      </c>
      <c r="C222" s="564" t="s">
        <v>88</v>
      </c>
      <c r="D222" s="553">
        <v>0.32</v>
      </c>
      <c r="E222" s="560">
        <v>1213649.681475</v>
      </c>
      <c r="F222" s="561">
        <f t="shared" si="14"/>
        <v>388367.89807200001</v>
      </c>
    </row>
    <row r="223" spans="1:6">
      <c r="A223" s="556">
        <v>10</v>
      </c>
      <c r="B223" s="554" t="s">
        <v>929</v>
      </c>
      <c r="C223" s="564" t="s">
        <v>88</v>
      </c>
      <c r="D223" s="553">
        <v>1.62</v>
      </c>
      <c r="E223" s="560">
        <v>1405278.57855</v>
      </c>
      <c r="F223" s="561">
        <f t="shared" si="14"/>
        <v>2276551.2972510001</v>
      </c>
    </row>
    <row r="224" spans="1:6">
      <c r="A224" s="556">
        <v>11</v>
      </c>
      <c r="B224" s="554" t="s">
        <v>930</v>
      </c>
      <c r="C224" s="564" t="s">
        <v>90</v>
      </c>
      <c r="D224" s="553">
        <v>5.62</v>
      </c>
      <c r="E224" s="560">
        <v>485459.87258999998</v>
      </c>
      <c r="F224" s="561">
        <f t="shared" si="14"/>
        <v>2728284.4839558001</v>
      </c>
    </row>
    <row r="225" spans="1:6">
      <c r="A225" s="556">
        <v>12</v>
      </c>
      <c r="B225" s="554" t="s">
        <v>931</v>
      </c>
      <c r="C225" s="564" t="s">
        <v>90</v>
      </c>
      <c r="D225" s="553">
        <v>1.97</v>
      </c>
      <c r="E225" s="560">
        <v>664313.50986000011</v>
      </c>
      <c r="F225" s="561">
        <f t="shared" si="14"/>
        <v>1308697.6144242003</v>
      </c>
    </row>
    <row r="226" spans="1:6" ht="33">
      <c r="A226" s="556">
        <v>13</v>
      </c>
      <c r="B226" s="554" t="s">
        <v>932</v>
      </c>
      <c r="C226" s="564" t="s">
        <v>210</v>
      </c>
      <c r="D226" s="553">
        <v>30</v>
      </c>
      <c r="E226" s="560">
        <v>5475.1113450000003</v>
      </c>
      <c r="F226" s="561">
        <f t="shared" si="14"/>
        <v>164253.34035000001</v>
      </c>
    </row>
    <row r="227" spans="1:6" ht="33">
      <c r="A227" s="556">
        <v>14</v>
      </c>
      <c r="B227" s="554" t="s">
        <v>933</v>
      </c>
      <c r="C227" s="564" t="s">
        <v>210</v>
      </c>
      <c r="D227" s="553">
        <v>4</v>
      </c>
      <c r="E227" s="560">
        <v>13991.951215000001</v>
      </c>
      <c r="F227" s="561">
        <f t="shared" si="14"/>
        <v>55967.804860000004</v>
      </c>
    </row>
    <row r="228" spans="1:6">
      <c r="A228" s="556">
        <v>15</v>
      </c>
      <c r="B228" s="554" t="s">
        <v>934</v>
      </c>
      <c r="C228" s="564" t="s">
        <v>210</v>
      </c>
      <c r="D228" s="553">
        <v>2</v>
      </c>
      <c r="E228" s="560">
        <v>34067.359479999999</v>
      </c>
      <c r="F228" s="561">
        <f t="shared" si="14"/>
        <v>68134.718959999998</v>
      </c>
    </row>
    <row r="229" spans="1:6">
      <c r="A229" s="556">
        <v>16</v>
      </c>
      <c r="B229" s="554" t="s">
        <v>935</v>
      </c>
      <c r="C229" s="564" t="s">
        <v>210</v>
      </c>
      <c r="D229" s="553">
        <v>4</v>
      </c>
      <c r="E229" s="560">
        <v>30417.285250000001</v>
      </c>
      <c r="F229" s="561">
        <f t="shared" si="14"/>
        <v>121669.141</v>
      </c>
    </row>
    <row r="230" spans="1:6">
      <c r="A230" s="556">
        <v>17</v>
      </c>
      <c r="B230" s="554" t="s">
        <v>936</v>
      </c>
      <c r="C230" s="564" t="s">
        <v>210</v>
      </c>
      <c r="D230" s="553">
        <v>80</v>
      </c>
      <c r="E230" s="560">
        <v>4380.0890760000002</v>
      </c>
      <c r="F230" s="561">
        <f t="shared" si="14"/>
        <v>350407.12608000002</v>
      </c>
    </row>
    <row r="231" spans="1:6">
      <c r="A231" s="556">
        <v>18</v>
      </c>
      <c r="B231" s="554" t="s">
        <v>937</v>
      </c>
      <c r="C231" s="564" t="s">
        <v>210</v>
      </c>
      <c r="D231" s="553">
        <v>70</v>
      </c>
      <c r="E231" s="560">
        <v>10463.546125999999</v>
      </c>
      <c r="F231" s="561">
        <f t="shared" si="14"/>
        <v>732448.22881999996</v>
      </c>
    </row>
    <row r="232" spans="1:6">
      <c r="A232" s="556">
        <v>19</v>
      </c>
      <c r="B232" s="554" t="s">
        <v>938</v>
      </c>
      <c r="C232" s="564" t="s">
        <v>210</v>
      </c>
      <c r="D232" s="553">
        <v>80</v>
      </c>
      <c r="E232" s="560">
        <v>912.51855750000004</v>
      </c>
      <c r="F232" s="561">
        <f t="shared" si="14"/>
        <v>73001.484599999996</v>
      </c>
    </row>
    <row r="233" spans="1:6">
      <c r="A233" s="556">
        <v>20</v>
      </c>
      <c r="B233" s="554" t="s">
        <v>939</v>
      </c>
      <c r="C233" s="564" t="s">
        <v>210</v>
      </c>
      <c r="D233" s="553">
        <v>4</v>
      </c>
      <c r="E233" s="560">
        <v>365.00742300000002</v>
      </c>
      <c r="F233" s="561">
        <f t="shared" si="14"/>
        <v>1460.0296920000001</v>
      </c>
    </row>
    <row r="234" spans="1:6">
      <c r="A234" s="556">
        <v>21</v>
      </c>
      <c r="B234" s="554" t="s">
        <v>940</v>
      </c>
      <c r="C234" s="564" t="s">
        <v>210</v>
      </c>
      <c r="D234" s="553">
        <v>4</v>
      </c>
      <c r="E234" s="560">
        <v>1034.1876985000001</v>
      </c>
      <c r="F234" s="561">
        <f t="shared" si="14"/>
        <v>4136.7507940000005</v>
      </c>
    </row>
    <row r="235" spans="1:6">
      <c r="A235" s="556">
        <v>22</v>
      </c>
      <c r="B235" s="554" t="s">
        <v>941</v>
      </c>
      <c r="C235" s="564" t="s">
        <v>210</v>
      </c>
      <c r="D235" s="553">
        <v>8</v>
      </c>
      <c r="E235" s="560">
        <v>1095.0222690000001</v>
      </c>
      <c r="F235" s="561">
        <f t="shared" si="14"/>
        <v>8760.1781520000004</v>
      </c>
    </row>
    <row r="236" spans="1:6">
      <c r="A236" s="550" t="s">
        <v>337</v>
      </c>
      <c r="B236" s="565" t="s">
        <v>942</v>
      </c>
      <c r="C236" s="564"/>
      <c r="D236" s="553">
        <v>0</v>
      </c>
      <c r="E236" s="554"/>
      <c r="F236" s="555">
        <f>SUM(F237:F249)</f>
        <v>38622667.36024294</v>
      </c>
    </row>
    <row r="237" spans="1:6">
      <c r="A237" s="556">
        <v>1</v>
      </c>
      <c r="B237" s="557" t="s">
        <v>909</v>
      </c>
      <c r="C237" s="566" t="s">
        <v>273</v>
      </c>
      <c r="D237" s="553">
        <v>240.12</v>
      </c>
      <c r="E237" s="560">
        <v>119864.39698293729</v>
      </c>
      <c r="F237" s="561">
        <f>D237*E237</f>
        <v>28781839.003542904</v>
      </c>
    </row>
    <row r="238" spans="1:6">
      <c r="A238" s="556">
        <v>2</v>
      </c>
      <c r="B238" s="557" t="s">
        <v>911</v>
      </c>
      <c r="C238" s="566" t="s">
        <v>273</v>
      </c>
      <c r="D238" s="553">
        <v>2.8</v>
      </c>
      <c r="E238" s="560">
        <v>119864.39698293729</v>
      </c>
      <c r="F238" s="561">
        <f t="shared" ref="F238:F249" si="15">D238*E238</f>
        <v>335620.31155222439</v>
      </c>
    </row>
    <row r="239" spans="1:6">
      <c r="A239" s="556">
        <v>3</v>
      </c>
      <c r="B239" s="557" t="s">
        <v>912</v>
      </c>
      <c r="C239" s="566" t="s">
        <v>273</v>
      </c>
      <c r="D239" s="553">
        <v>29</v>
      </c>
      <c r="E239" s="560">
        <v>119864.39698293729</v>
      </c>
      <c r="F239" s="561">
        <f t="shared" si="15"/>
        <v>3476067.5125051816</v>
      </c>
    </row>
    <row r="240" spans="1:6">
      <c r="A240" s="556">
        <v>4</v>
      </c>
      <c r="B240" s="557" t="s">
        <v>943</v>
      </c>
      <c r="C240" s="566" t="s">
        <v>273</v>
      </c>
      <c r="D240" s="553">
        <v>7.6</v>
      </c>
      <c r="E240" s="560">
        <v>119864.39698293729</v>
      </c>
      <c r="F240" s="561">
        <f t="shared" si="15"/>
        <v>910969.41707032337</v>
      </c>
    </row>
    <row r="241" spans="1:6">
      <c r="A241" s="556">
        <v>5</v>
      </c>
      <c r="B241" s="557" t="s">
        <v>926</v>
      </c>
      <c r="C241" s="566" t="s">
        <v>273</v>
      </c>
      <c r="D241" s="553">
        <v>7</v>
      </c>
      <c r="E241" s="560">
        <v>119864.39698293729</v>
      </c>
      <c r="F241" s="561">
        <f t="shared" si="15"/>
        <v>839050.778880561</v>
      </c>
    </row>
    <row r="242" spans="1:6">
      <c r="A242" s="556">
        <v>6</v>
      </c>
      <c r="B242" s="557" t="s">
        <v>944</v>
      </c>
      <c r="C242" s="566" t="s">
        <v>273</v>
      </c>
      <c r="D242" s="553">
        <v>11</v>
      </c>
      <c r="E242" s="560">
        <v>131362.13080743729</v>
      </c>
      <c r="F242" s="561">
        <f t="shared" si="15"/>
        <v>1444983.4388818103</v>
      </c>
    </row>
    <row r="243" spans="1:6">
      <c r="A243" s="556">
        <v>7</v>
      </c>
      <c r="B243" s="557" t="s">
        <v>945</v>
      </c>
      <c r="C243" s="566" t="s">
        <v>273</v>
      </c>
      <c r="D243" s="553">
        <v>7.28</v>
      </c>
      <c r="E243" s="560">
        <v>131362.13080743729</v>
      </c>
      <c r="F243" s="561">
        <f t="shared" si="15"/>
        <v>956316.31227814348</v>
      </c>
    </row>
    <row r="244" spans="1:6">
      <c r="A244" s="556">
        <v>8</v>
      </c>
      <c r="B244" s="557" t="s">
        <v>946</v>
      </c>
      <c r="C244" s="566" t="s">
        <v>273</v>
      </c>
      <c r="D244" s="553">
        <v>5.2</v>
      </c>
      <c r="E244" s="560">
        <v>131362.13080743729</v>
      </c>
      <c r="F244" s="561">
        <f t="shared" si="15"/>
        <v>683083.080198674</v>
      </c>
    </row>
    <row r="245" spans="1:6">
      <c r="A245" s="556">
        <v>9</v>
      </c>
      <c r="B245" s="557" t="s">
        <v>947</v>
      </c>
      <c r="C245" s="566" t="s">
        <v>273</v>
      </c>
      <c r="D245" s="553">
        <v>5.04</v>
      </c>
      <c r="E245" s="560">
        <v>229731.63130593731</v>
      </c>
      <c r="F245" s="561">
        <f t="shared" si="15"/>
        <v>1157847.4217819241</v>
      </c>
    </row>
    <row r="246" spans="1:6">
      <c r="A246" s="556">
        <v>10</v>
      </c>
      <c r="B246" s="562" t="s">
        <v>948</v>
      </c>
      <c r="C246" s="566" t="s">
        <v>210</v>
      </c>
      <c r="D246" s="553">
        <v>4</v>
      </c>
      <c r="E246" s="560">
        <v>6691.8027549999988</v>
      </c>
      <c r="F246" s="561">
        <f t="shared" si="15"/>
        <v>26767.211019999995</v>
      </c>
    </row>
    <row r="247" spans="1:6">
      <c r="A247" s="556">
        <v>11</v>
      </c>
      <c r="B247" s="562" t="s">
        <v>949</v>
      </c>
      <c r="C247" s="566" t="s">
        <v>210</v>
      </c>
      <c r="D247" s="553">
        <v>4</v>
      </c>
      <c r="E247" s="560">
        <v>973.35312799999997</v>
      </c>
      <c r="F247" s="561">
        <f t="shared" si="15"/>
        <v>3893.4125119999999</v>
      </c>
    </row>
    <row r="248" spans="1:6">
      <c r="A248" s="556">
        <v>12</v>
      </c>
      <c r="B248" s="562" t="s">
        <v>950</v>
      </c>
      <c r="C248" s="566" t="s">
        <v>210</v>
      </c>
      <c r="D248" s="553">
        <v>4</v>
      </c>
      <c r="E248" s="560">
        <v>340.67359479999999</v>
      </c>
      <c r="F248" s="561">
        <f t="shared" si="15"/>
        <v>1362.6943792</v>
      </c>
    </row>
    <row r="249" spans="1:6">
      <c r="A249" s="556">
        <v>13</v>
      </c>
      <c r="B249" s="557" t="s">
        <v>951</v>
      </c>
      <c r="C249" s="566" t="s">
        <v>918</v>
      </c>
      <c r="D249" s="553">
        <v>4</v>
      </c>
      <c r="E249" s="560">
        <v>1216.6914100000001</v>
      </c>
      <c r="F249" s="561">
        <f t="shared" si="15"/>
        <v>4866.7656400000005</v>
      </c>
    </row>
    <row r="250" spans="1:6">
      <c r="A250" s="550" t="s">
        <v>902</v>
      </c>
      <c r="B250" s="565" t="s">
        <v>336</v>
      </c>
      <c r="C250" s="564"/>
      <c r="D250" s="553">
        <v>0</v>
      </c>
      <c r="E250" s="554"/>
      <c r="F250" s="555">
        <f>SUM(F251:F263)</f>
        <v>11348187.350028697</v>
      </c>
    </row>
    <row r="251" spans="1:6">
      <c r="A251" s="556">
        <v>1</v>
      </c>
      <c r="B251" s="557" t="s">
        <v>952</v>
      </c>
      <c r="C251" s="567" t="s">
        <v>273</v>
      </c>
      <c r="D251" s="559">
        <v>0.4</v>
      </c>
      <c r="E251" s="560">
        <v>119864.39698293729</v>
      </c>
      <c r="F251" s="561">
        <f>D251*E251</f>
        <v>47945.758793174922</v>
      </c>
    </row>
    <row r="252" spans="1:6">
      <c r="A252" s="556">
        <v>2</v>
      </c>
      <c r="B252" s="557" t="s">
        <v>953</v>
      </c>
      <c r="C252" s="567" t="s">
        <v>273</v>
      </c>
      <c r="D252" s="559">
        <v>4.3600000000000003</v>
      </c>
      <c r="E252" s="560">
        <v>119864.39698293729</v>
      </c>
      <c r="F252" s="561">
        <f t="shared" ref="F252:F263" si="16">D252*E252</f>
        <v>522608.77084560663</v>
      </c>
    </row>
    <row r="253" spans="1:6">
      <c r="A253" s="556">
        <v>3</v>
      </c>
      <c r="B253" s="557" t="s">
        <v>912</v>
      </c>
      <c r="C253" s="567" t="s">
        <v>273</v>
      </c>
      <c r="D253" s="559">
        <v>0.92</v>
      </c>
      <c r="E253" s="560">
        <v>119864.39698293729</v>
      </c>
      <c r="F253" s="561">
        <f t="shared" si="16"/>
        <v>110275.24522430231</v>
      </c>
    </row>
    <row r="254" spans="1:6">
      <c r="A254" s="556">
        <v>4</v>
      </c>
      <c r="B254" s="557" t="s">
        <v>954</v>
      </c>
      <c r="C254" s="567" t="s">
        <v>273</v>
      </c>
      <c r="D254" s="559">
        <v>19.79</v>
      </c>
      <c r="E254" s="560">
        <v>119864.39698293729</v>
      </c>
      <c r="F254" s="561">
        <f t="shared" si="16"/>
        <v>2372116.4162923289</v>
      </c>
    </row>
    <row r="255" spans="1:6">
      <c r="A255" s="556">
        <v>5</v>
      </c>
      <c r="B255" s="557" t="s">
        <v>943</v>
      </c>
      <c r="C255" s="567" t="s">
        <v>273</v>
      </c>
      <c r="D255" s="559">
        <v>33.119999999999997</v>
      </c>
      <c r="E255" s="560">
        <v>119864.39698293729</v>
      </c>
      <c r="F255" s="561">
        <f t="shared" si="16"/>
        <v>3969908.8280748827</v>
      </c>
    </row>
    <row r="256" spans="1:6">
      <c r="A256" s="556">
        <v>6</v>
      </c>
      <c r="B256" s="557" t="s">
        <v>955</v>
      </c>
      <c r="C256" s="567" t="s">
        <v>273</v>
      </c>
      <c r="D256" s="559">
        <v>14.6</v>
      </c>
      <c r="E256" s="560">
        <v>131362.13080743729</v>
      </c>
      <c r="F256" s="561">
        <f t="shared" si="16"/>
        <v>1917887.1097885845</v>
      </c>
    </row>
    <row r="257" spans="1:6">
      <c r="A257" s="556">
        <v>7</v>
      </c>
      <c r="B257" s="557" t="s">
        <v>956</v>
      </c>
      <c r="C257" s="567" t="s">
        <v>273</v>
      </c>
      <c r="D257" s="559">
        <v>14.6</v>
      </c>
      <c r="E257" s="560">
        <v>131362.13080743729</v>
      </c>
      <c r="F257" s="561">
        <f t="shared" si="16"/>
        <v>1917887.1097885845</v>
      </c>
    </row>
    <row r="258" spans="1:6">
      <c r="A258" s="556">
        <v>8</v>
      </c>
      <c r="B258" s="557" t="s">
        <v>957</v>
      </c>
      <c r="C258" s="567" t="s">
        <v>273</v>
      </c>
      <c r="D258" s="559">
        <v>1.1000000000000001</v>
      </c>
      <c r="E258" s="560">
        <v>229731.63130593731</v>
      </c>
      <c r="F258" s="561">
        <f t="shared" si="16"/>
        <v>252704.79443653105</v>
      </c>
    </row>
    <row r="259" spans="1:6">
      <c r="A259" s="556">
        <v>9</v>
      </c>
      <c r="B259" s="557" t="s">
        <v>958</v>
      </c>
      <c r="C259" s="567" t="s">
        <v>918</v>
      </c>
      <c r="D259" s="559">
        <v>5</v>
      </c>
      <c r="E259" s="560">
        <v>3321.5675492999999</v>
      </c>
      <c r="F259" s="561">
        <f t="shared" si="16"/>
        <v>16607.837746500001</v>
      </c>
    </row>
    <row r="260" spans="1:6">
      <c r="A260" s="556">
        <v>10</v>
      </c>
      <c r="B260" s="557" t="s">
        <v>959</v>
      </c>
      <c r="C260" s="567" t="s">
        <v>918</v>
      </c>
      <c r="D260" s="559">
        <v>1</v>
      </c>
      <c r="E260" s="560">
        <v>9855.2004209999996</v>
      </c>
      <c r="F260" s="561">
        <f t="shared" si="16"/>
        <v>9855.2004209999996</v>
      </c>
    </row>
    <row r="261" spans="1:6">
      <c r="A261" s="556">
        <v>11</v>
      </c>
      <c r="B261" s="557" t="s">
        <v>960</v>
      </c>
      <c r="C261" s="567" t="s">
        <v>918</v>
      </c>
      <c r="D261" s="559">
        <v>6</v>
      </c>
      <c r="E261" s="560">
        <v>10341.876985000001</v>
      </c>
      <c r="F261" s="561">
        <f t="shared" si="16"/>
        <v>62051.261910000001</v>
      </c>
    </row>
    <row r="262" spans="1:6">
      <c r="A262" s="556">
        <v>12</v>
      </c>
      <c r="B262" s="557" t="s">
        <v>961</v>
      </c>
      <c r="C262" s="567" t="s">
        <v>918</v>
      </c>
      <c r="D262" s="559">
        <v>6</v>
      </c>
      <c r="E262" s="560">
        <v>24333.8282</v>
      </c>
      <c r="F262" s="561">
        <f t="shared" si="16"/>
        <v>146002.96919999999</v>
      </c>
    </row>
    <row r="263" spans="1:6">
      <c r="A263" s="556">
        <v>13</v>
      </c>
      <c r="B263" s="557" t="s">
        <v>962</v>
      </c>
      <c r="C263" s="567" t="s">
        <v>210</v>
      </c>
      <c r="D263" s="559">
        <v>6</v>
      </c>
      <c r="E263" s="560">
        <v>389.34125119999999</v>
      </c>
      <c r="F263" s="561">
        <f t="shared" si="16"/>
        <v>2336.0475071999999</v>
      </c>
    </row>
    <row r="264" spans="1:6">
      <c r="A264" s="550" t="s">
        <v>903</v>
      </c>
      <c r="B264" s="565" t="s">
        <v>1000</v>
      </c>
      <c r="C264" s="564"/>
      <c r="D264" s="553">
        <v>0</v>
      </c>
      <c r="E264" s="554"/>
      <c r="F264" s="555">
        <f>SUM(F265:F267)</f>
        <v>3786165.5895592449</v>
      </c>
    </row>
    <row r="265" spans="1:6">
      <c r="A265" s="556">
        <v>1</v>
      </c>
      <c r="B265" s="557" t="s">
        <v>963</v>
      </c>
      <c r="C265" s="566" t="s">
        <v>273</v>
      </c>
      <c r="D265" s="553">
        <v>16.5</v>
      </c>
      <c r="E265" s="560">
        <v>142859.86463193729</v>
      </c>
      <c r="F265" s="561">
        <f>D265*E265</f>
        <v>2357187.7664269651</v>
      </c>
    </row>
    <row r="266" spans="1:6">
      <c r="A266" s="556">
        <v>2</v>
      </c>
      <c r="B266" s="557" t="s">
        <v>964</v>
      </c>
      <c r="C266" s="566" t="s">
        <v>273</v>
      </c>
      <c r="D266" s="553">
        <v>5.5</v>
      </c>
      <c r="E266" s="560">
        <v>142859.86463193729</v>
      </c>
      <c r="F266" s="561">
        <f>D266*E266</f>
        <v>785729.25547565508</v>
      </c>
    </row>
    <row r="267" spans="1:6">
      <c r="A267" s="556">
        <v>3</v>
      </c>
      <c r="B267" s="557" t="s">
        <v>957</v>
      </c>
      <c r="C267" s="566" t="s">
        <v>273</v>
      </c>
      <c r="D267" s="553">
        <v>2.8</v>
      </c>
      <c r="E267" s="560">
        <v>229731.63130593731</v>
      </c>
      <c r="F267" s="561">
        <f>D267*E267</f>
        <v>643248.56765662436</v>
      </c>
    </row>
    <row r="268" spans="1:6" ht="33">
      <c r="A268" s="550" t="s">
        <v>904</v>
      </c>
      <c r="B268" s="568" t="s">
        <v>1001</v>
      </c>
      <c r="C268" s="558"/>
      <c r="D268" s="559">
        <v>0</v>
      </c>
      <c r="E268" s="557"/>
      <c r="F268" s="555">
        <f>SUM(F269:F277)</f>
        <v>3694930.0219555688</v>
      </c>
    </row>
    <row r="269" spans="1:6">
      <c r="A269" s="569">
        <v>1</v>
      </c>
      <c r="B269" s="562" t="s">
        <v>965</v>
      </c>
      <c r="C269" s="566" t="s">
        <v>273</v>
      </c>
      <c r="D269" s="553">
        <v>5.53</v>
      </c>
      <c r="E269" s="560">
        <v>119864.39698293729</v>
      </c>
      <c r="F269" s="561">
        <f>D269*E269</f>
        <v>662850.11531564326</v>
      </c>
    </row>
    <row r="270" spans="1:6">
      <c r="A270" s="569">
        <v>2</v>
      </c>
      <c r="B270" s="562" t="s">
        <v>966</v>
      </c>
      <c r="C270" s="566" t="s">
        <v>273</v>
      </c>
      <c r="D270" s="553">
        <v>14.47</v>
      </c>
      <c r="E270" s="560">
        <v>119864.39698293729</v>
      </c>
      <c r="F270" s="561">
        <f t="shared" ref="F270:F277" si="17">D270*E270</f>
        <v>1734437.8243431028</v>
      </c>
    </row>
    <row r="271" spans="1:6">
      <c r="A271" s="569">
        <v>3</v>
      </c>
      <c r="B271" s="562" t="s">
        <v>967</v>
      </c>
      <c r="C271" s="566" t="s">
        <v>273</v>
      </c>
      <c r="D271" s="553">
        <v>5</v>
      </c>
      <c r="E271" s="560">
        <v>131362.13080743729</v>
      </c>
      <c r="F271" s="561">
        <f t="shared" si="17"/>
        <v>656810.65403718641</v>
      </c>
    </row>
    <row r="272" spans="1:6">
      <c r="A272" s="569">
        <v>4</v>
      </c>
      <c r="B272" s="562" t="s">
        <v>968</v>
      </c>
      <c r="C272" s="566" t="s">
        <v>273</v>
      </c>
      <c r="D272" s="553">
        <v>2.5</v>
      </c>
      <c r="E272" s="560">
        <v>131362.13080743729</v>
      </c>
      <c r="F272" s="561">
        <f t="shared" si="17"/>
        <v>328405.32701859321</v>
      </c>
    </row>
    <row r="273" spans="1:6">
      <c r="A273" s="569">
        <v>5</v>
      </c>
      <c r="B273" s="562" t="s">
        <v>956</v>
      </c>
      <c r="C273" s="566" t="s">
        <v>273</v>
      </c>
      <c r="D273" s="553">
        <v>1.7</v>
      </c>
      <c r="E273" s="560">
        <v>131362.13080743729</v>
      </c>
      <c r="F273" s="561">
        <f t="shared" si="17"/>
        <v>223315.62237264338</v>
      </c>
    </row>
    <row r="274" spans="1:6">
      <c r="A274" s="569">
        <v>6</v>
      </c>
      <c r="B274" s="562" t="s">
        <v>969</v>
      </c>
      <c r="C274" s="566" t="s">
        <v>210</v>
      </c>
      <c r="D274" s="553">
        <v>8</v>
      </c>
      <c r="E274" s="560">
        <v>365.00742300000002</v>
      </c>
      <c r="F274" s="561">
        <f t="shared" si="17"/>
        <v>2920.0593840000001</v>
      </c>
    </row>
    <row r="275" spans="1:6">
      <c r="A275" s="569">
        <v>7</v>
      </c>
      <c r="B275" s="562" t="s">
        <v>970</v>
      </c>
      <c r="C275" s="566" t="s">
        <v>210</v>
      </c>
      <c r="D275" s="553">
        <v>8</v>
      </c>
      <c r="E275" s="560">
        <v>340.67359479999999</v>
      </c>
      <c r="F275" s="561">
        <f t="shared" si="17"/>
        <v>2725.3887583999999</v>
      </c>
    </row>
    <row r="276" spans="1:6">
      <c r="A276" s="569">
        <v>8</v>
      </c>
      <c r="B276" s="562" t="s">
        <v>949</v>
      </c>
      <c r="C276" s="566" t="s">
        <v>210</v>
      </c>
      <c r="D276" s="553">
        <v>16</v>
      </c>
      <c r="E276" s="560">
        <v>4988.4347809999999</v>
      </c>
      <c r="F276" s="561">
        <f t="shared" si="17"/>
        <v>79814.956495999999</v>
      </c>
    </row>
    <row r="277" spans="1:6">
      <c r="A277" s="569">
        <v>9</v>
      </c>
      <c r="B277" s="562" t="s">
        <v>971</v>
      </c>
      <c r="C277" s="566" t="s">
        <v>210</v>
      </c>
      <c r="D277" s="553">
        <v>4</v>
      </c>
      <c r="E277" s="560">
        <v>912.51855750000004</v>
      </c>
      <c r="F277" s="561">
        <f t="shared" si="17"/>
        <v>3650.0742300000002</v>
      </c>
    </row>
    <row r="278" spans="1:6">
      <c r="A278" s="550" t="s">
        <v>905</v>
      </c>
      <c r="B278" s="568" t="s">
        <v>972</v>
      </c>
      <c r="C278" s="564"/>
      <c r="D278" s="553">
        <v>0</v>
      </c>
      <c r="E278" s="554"/>
      <c r="F278" s="555">
        <f>SUM(F279:F285)</f>
        <v>7191824.8741175216</v>
      </c>
    </row>
    <row r="279" spans="1:6">
      <c r="A279" s="569">
        <v>1</v>
      </c>
      <c r="B279" s="557" t="s">
        <v>973</v>
      </c>
      <c r="C279" s="564" t="s">
        <v>273</v>
      </c>
      <c r="D279" s="553">
        <v>46.89</v>
      </c>
      <c r="E279" s="560">
        <v>119864.39698293729</v>
      </c>
      <c r="F279" s="561">
        <f>D279*E279</f>
        <v>5620441.57452993</v>
      </c>
    </row>
    <row r="280" spans="1:6">
      <c r="A280" s="569">
        <v>2</v>
      </c>
      <c r="B280" s="557" t="s">
        <v>974</v>
      </c>
      <c r="C280" s="564" t="s">
        <v>273</v>
      </c>
      <c r="D280" s="553">
        <v>4.66</v>
      </c>
      <c r="E280" s="560">
        <v>119864.39698293729</v>
      </c>
      <c r="F280" s="561">
        <f t="shared" ref="F280:F285" si="18">D280*E280</f>
        <v>558568.08994048776</v>
      </c>
    </row>
    <row r="281" spans="1:6">
      <c r="A281" s="569">
        <v>3</v>
      </c>
      <c r="B281" s="557" t="s">
        <v>911</v>
      </c>
      <c r="C281" s="564" t="s">
        <v>273</v>
      </c>
      <c r="D281" s="553">
        <v>6.73</v>
      </c>
      <c r="E281" s="560">
        <v>119864.39698293729</v>
      </c>
      <c r="F281" s="561">
        <f t="shared" si="18"/>
        <v>806687.39169516799</v>
      </c>
    </row>
    <row r="282" spans="1:6">
      <c r="A282" s="569">
        <v>4</v>
      </c>
      <c r="B282" s="557" t="s">
        <v>975</v>
      </c>
      <c r="C282" s="564" t="s">
        <v>273</v>
      </c>
      <c r="D282" s="553">
        <v>1</v>
      </c>
      <c r="E282" s="560">
        <v>131362.13080743729</v>
      </c>
      <c r="F282" s="561">
        <f t="shared" si="18"/>
        <v>131362.13080743729</v>
      </c>
    </row>
    <row r="283" spans="1:6">
      <c r="A283" s="569">
        <v>5</v>
      </c>
      <c r="B283" s="557" t="s">
        <v>976</v>
      </c>
      <c r="C283" s="564" t="s">
        <v>210</v>
      </c>
      <c r="D283" s="553">
        <v>2</v>
      </c>
      <c r="E283" s="560">
        <v>15969.074756250002</v>
      </c>
      <c r="F283" s="561">
        <f t="shared" si="18"/>
        <v>31938.149512500004</v>
      </c>
    </row>
    <row r="284" spans="1:6">
      <c r="A284" s="569">
        <v>6</v>
      </c>
      <c r="B284" s="557" t="s">
        <v>977</v>
      </c>
      <c r="C284" s="564" t="s">
        <v>335</v>
      </c>
      <c r="D284" s="553">
        <v>1</v>
      </c>
      <c r="E284" s="560">
        <v>12166.9141</v>
      </c>
      <c r="F284" s="561">
        <f t="shared" si="18"/>
        <v>12166.9141</v>
      </c>
    </row>
    <row r="285" spans="1:6">
      <c r="A285" s="569">
        <v>7</v>
      </c>
      <c r="B285" s="557" t="s">
        <v>978</v>
      </c>
      <c r="C285" s="564" t="s">
        <v>918</v>
      </c>
      <c r="D285" s="553">
        <v>12</v>
      </c>
      <c r="E285" s="560">
        <v>2555.0519609999997</v>
      </c>
      <c r="F285" s="561">
        <f t="shared" si="18"/>
        <v>30660.623531999998</v>
      </c>
    </row>
    <row r="286" spans="1:6">
      <c r="A286" s="550" t="s">
        <v>906</v>
      </c>
      <c r="B286" s="568" t="s">
        <v>979</v>
      </c>
      <c r="C286" s="564"/>
      <c r="D286" s="553">
        <v>0</v>
      </c>
      <c r="E286" s="554"/>
      <c r="F286" s="555">
        <f>SUM(F287:F290)</f>
        <v>45575534.059522815</v>
      </c>
    </row>
    <row r="287" spans="1:6">
      <c r="A287" s="569">
        <v>1</v>
      </c>
      <c r="B287" s="557" t="s">
        <v>980</v>
      </c>
      <c r="C287" s="558" t="s">
        <v>273</v>
      </c>
      <c r="D287" s="570">
        <v>35.950000000000003</v>
      </c>
      <c r="E287" s="560">
        <v>28651.612231254425</v>
      </c>
      <c r="F287" s="561">
        <f>D287*E287</f>
        <v>1030025.4597135966</v>
      </c>
    </row>
    <row r="288" spans="1:6">
      <c r="A288" s="569">
        <v>2</v>
      </c>
      <c r="B288" s="557" t="s">
        <v>981</v>
      </c>
      <c r="C288" s="558" t="s">
        <v>273</v>
      </c>
      <c r="D288" s="570">
        <v>470.18</v>
      </c>
      <c r="E288" s="560">
        <v>91311.219846254418</v>
      </c>
      <c r="F288" s="561">
        <f>D288*E288</f>
        <v>42932709.347311907</v>
      </c>
    </row>
    <row r="289" spans="1:6" ht="33">
      <c r="A289" s="569">
        <v>3</v>
      </c>
      <c r="B289" s="557" t="s">
        <v>982</v>
      </c>
      <c r="C289" s="558" t="s">
        <v>273</v>
      </c>
      <c r="D289" s="570">
        <v>40.46</v>
      </c>
      <c r="E289" s="560">
        <v>28651.612231254425</v>
      </c>
      <c r="F289" s="561">
        <f>D289*E289</f>
        <v>1159244.230876554</v>
      </c>
    </row>
    <row r="290" spans="1:6">
      <c r="A290" s="569">
        <v>4</v>
      </c>
      <c r="B290" s="557" t="s">
        <v>983</v>
      </c>
      <c r="C290" s="558" t="s">
        <v>273</v>
      </c>
      <c r="D290" s="570">
        <v>15.83</v>
      </c>
      <c r="E290" s="560">
        <v>28651.612231254425</v>
      </c>
      <c r="F290" s="561">
        <f>D290*E290</f>
        <v>453555.02162075753</v>
      </c>
    </row>
    <row r="291" spans="1:6">
      <c r="A291" s="550" t="s">
        <v>907</v>
      </c>
      <c r="B291" s="568" t="s">
        <v>984</v>
      </c>
      <c r="C291" s="564"/>
      <c r="D291" s="553">
        <v>0</v>
      </c>
      <c r="E291" s="560"/>
      <c r="F291" s="571">
        <f>SUM(F292:F295)</f>
        <v>34130879.844812706</v>
      </c>
    </row>
    <row r="292" spans="1:6">
      <c r="A292" s="569">
        <v>1</v>
      </c>
      <c r="B292" s="557" t="s">
        <v>980</v>
      </c>
      <c r="C292" s="564" t="s">
        <v>273</v>
      </c>
      <c r="D292" s="553">
        <v>25.51</v>
      </c>
      <c r="E292" s="560">
        <v>28651.612231254425</v>
      </c>
      <c r="F292" s="561">
        <f>D292*E292</f>
        <v>730902.62801930041</v>
      </c>
    </row>
    <row r="293" spans="1:6">
      <c r="A293" s="569">
        <v>2</v>
      </c>
      <c r="B293" s="557" t="s">
        <v>985</v>
      </c>
      <c r="C293" s="564" t="s">
        <v>273</v>
      </c>
      <c r="D293" s="553">
        <v>350.03</v>
      </c>
      <c r="E293" s="560">
        <v>91311.219846254418</v>
      </c>
      <c r="F293" s="561">
        <f>D293*E293</f>
        <v>31961666.282784432</v>
      </c>
    </row>
    <row r="294" spans="1:6" ht="33">
      <c r="A294" s="569">
        <v>3</v>
      </c>
      <c r="B294" s="557" t="s">
        <v>982</v>
      </c>
      <c r="C294" s="564" t="s">
        <v>273</v>
      </c>
      <c r="D294" s="553">
        <v>37.380000000000003</v>
      </c>
      <c r="E294" s="560">
        <v>28651.612231254425</v>
      </c>
      <c r="F294" s="561">
        <f>D294*E294</f>
        <v>1070997.2652042904</v>
      </c>
    </row>
    <row r="295" spans="1:6">
      <c r="A295" s="569">
        <v>4</v>
      </c>
      <c r="B295" s="557" t="s">
        <v>983</v>
      </c>
      <c r="C295" s="564" t="s">
        <v>273</v>
      </c>
      <c r="D295" s="553">
        <v>12.82</v>
      </c>
      <c r="E295" s="560">
        <v>28651.612231254425</v>
      </c>
      <c r="F295" s="561">
        <f>D295*E295</f>
        <v>367313.66880468174</v>
      </c>
    </row>
    <row r="296" spans="1:6">
      <c r="A296" s="785" t="s">
        <v>715</v>
      </c>
      <c r="B296" s="786"/>
      <c r="C296" s="786"/>
      <c r="D296" s="786"/>
      <c r="E296" s="786"/>
      <c r="F296" s="787"/>
    </row>
    <row r="297" spans="1:6">
      <c r="A297" s="550" t="s">
        <v>8</v>
      </c>
      <c r="B297" s="551" t="s">
        <v>908</v>
      </c>
      <c r="C297" s="552"/>
      <c r="D297" s="553"/>
      <c r="E297" s="554"/>
      <c r="F297" s="555">
        <f>SUM(F298:F309)</f>
        <v>294224988.72432816</v>
      </c>
    </row>
    <row r="298" spans="1:6">
      <c r="A298" s="556">
        <v>1</v>
      </c>
      <c r="B298" s="557" t="s">
        <v>909</v>
      </c>
      <c r="C298" s="558" t="s">
        <v>273</v>
      </c>
      <c r="D298" s="559">
        <v>2406.83</v>
      </c>
      <c r="E298" s="560">
        <v>118586.87100243727</v>
      </c>
      <c r="F298" s="561">
        <f>D298*E298</f>
        <v>285418438.73479611</v>
      </c>
    </row>
    <row r="299" spans="1:6">
      <c r="A299" s="556">
        <v>2</v>
      </c>
      <c r="B299" s="557" t="s">
        <v>910</v>
      </c>
      <c r="C299" s="558" t="s">
        <v>273</v>
      </c>
      <c r="D299" s="559">
        <v>4.0599999999999996</v>
      </c>
      <c r="E299" s="560">
        <v>118586.87100243727</v>
      </c>
      <c r="F299" s="561">
        <f t="shared" ref="F299:F309" si="19">D299*E299</f>
        <v>481462.6962698953</v>
      </c>
    </row>
    <row r="300" spans="1:6">
      <c r="A300" s="556">
        <v>3</v>
      </c>
      <c r="B300" s="557" t="s">
        <v>911</v>
      </c>
      <c r="C300" s="558" t="s">
        <v>273</v>
      </c>
      <c r="D300" s="559">
        <v>15.39</v>
      </c>
      <c r="E300" s="560">
        <v>118586.87100243727</v>
      </c>
      <c r="F300" s="561">
        <f t="shared" si="19"/>
        <v>1825051.9447275097</v>
      </c>
    </row>
    <row r="301" spans="1:6">
      <c r="A301" s="556">
        <v>4</v>
      </c>
      <c r="B301" s="557" t="s">
        <v>912</v>
      </c>
      <c r="C301" s="558" t="s">
        <v>273</v>
      </c>
      <c r="D301" s="559">
        <v>37.68</v>
      </c>
      <c r="E301" s="560">
        <v>118586.87100243727</v>
      </c>
      <c r="F301" s="561">
        <f t="shared" si="19"/>
        <v>4468353.2993718367</v>
      </c>
    </row>
    <row r="302" spans="1:6">
      <c r="A302" s="556">
        <v>5</v>
      </c>
      <c r="B302" s="557" t="s">
        <v>913</v>
      </c>
      <c r="C302" s="558" t="s">
        <v>273</v>
      </c>
      <c r="D302" s="559">
        <v>1</v>
      </c>
      <c r="E302" s="560">
        <v>131362.13080743729</v>
      </c>
      <c r="F302" s="561">
        <f t="shared" si="19"/>
        <v>131362.13080743729</v>
      </c>
    </row>
    <row r="303" spans="1:6">
      <c r="A303" s="556">
        <v>6</v>
      </c>
      <c r="B303" s="557" t="s">
        <v>914</v>
      </c>
      <c r="C303" s="558" t="s">
        <v>273</v>
      </c>
      <c r="D303" s="559">
        <v>1.5</v>
      </c>
      <c r="E303" s="560">
        <v>131362.13080743729</v>
      </c>
      <c r="F303" s="561">
        <f t="shared" si="19"/>
        <v>197043.19621115594</v>
      </c>
    </row>
    <row r="304" spans="1:6">
      <c r="A304" s="556">
        <v>7</v>
      </c>
      <c r="B304" s="557" t="s">
        <v>915</v>
      </c>
      <c r="C304" s="558" t="s">
        <v>916</v>
      </c>
      <c r="D304" s="559">
        <v>0.61</v>
      </c>
      <c r="E304" s="560">
        <v>1596907.475625</v>
      </c>
      <c r="F304" s="561">
        <f t="shared" si="19"/>
        <v>974113.56013124995</v>
      </c>
    </row>
    <row r="305" spans="1:6">
      <c r="A305" s="556">
        <v>8</v>
      </c>
      <c r="B305" s="557" t="s">
        <v>917</v>
      </c>
      <c r="C305" s="558" t="s">
        <v>918</v>
      </c>
      <c r="D305" s="559">
        <v>46</v>
      </c>
      <c r="E305" s="560">
        <v>3893.4125119999999</v>
      </c>
      <c r="F305" s="561">
        <f t="shared" si="19"/>
        <v>179096.97555199999</v>
      </c>
    </row>
    <row r="306" spans="1:6">
      <c r="A306" s="556">
        <v>9</v>
      </c>
      <c r="B306" s="557" t="s">
        <v>919</v>
      </c>
      <c r="C306" s="558" t="s">
        <v>918</v>
      </c>
      <c r="D306" s="559">
        <v>46</v>
      </c>
      <c r="E306" s="560">
        <v>10463.546125999999</v>
      </c>
      <c r="F306" s="561">
        <f t="shared" si="19"/>
        <v>481323.12179599999</v>
      </c>
    </row>
    <row r="307" spans="1:6">
      <c r="A307" s="556">
        <v>10</v>
      </c>
      <c r="B307" s="562" t="s">
        <v>920</v>
      </c>
      <c r="C307" s="558" t="s">
        <v>918</v>
      </c>
      <c r="D307" s="559">
        <v>4</v>
      </c>
      <c r="E307" s="560">
        <v>13991.951215000001</v>
      </c>
      <c r="F307" s="561">
        <f t="shared" si="19"/>
        <v>55967.804860000004</v>
      </c>
    </row>
    <row r="308" spans="1:6">
      <c r="A308" s="556">
        <v>11</v>
      </c>
      <c r="B308" s="562" t="s">
        <v>921</v>
      </c>
      <c r="C308" s="558" t="s">
        <v>918</v>
      </c>
      <c r="D308" s="559">
        <v>10</v>
      </c>
      <c r="E308" s="560">
        <v>1095.0222690000001</v>
      </c>
      <c r="F308" s="561">
        <f t="shared" si="19"/>
        <v>10950.222690000001</v>
      </c>
    </row>
    <row r="309" spans="1:6">
      <c r="A309" s="556">
        <v>12</v>
      </c>
      <c r="B309" s="562" t="s">
        <v>922</v>
      </c>
      <c r="C309" s="558" t="s">
        <v>918</v>
      </c>
      <c r="D309" s="559">
        <v>5</v>
      </c>
      <c r="E309" s="560">
        <v>365.00742300000002</v>
      </c>
      <c r="F309" s="561">
        <f t="shared" si="19"/>
        <v>1825.0371150000001</v>
      </c>
    </row>
    <row r="310" spans="1:6">
      <c r="A310" s="550" t="s">
        <v>313</v>
      </c>
      <c r="B310" s="563" t="s">
        <v>999</v>
      </c>
      <c r="C310" s="564"/>
      <c r="D310" s="553">
        <v>0</v>
      </c>
      <c r="E310" s="554"/>
      <c r="F310" s="555">
        <f>SUM(F311:F332)</f>
        <v>138841373.40755224</v>
      </c>
    </row>
    <row r="311" spans="1:6">
      <c r="A311" s="556">
        <v>1</v>
      </c>
      <c r="B311" s="554" t="s">
        <v>909</v>
      </c>
      <c r="C311" s="564" t="s">
        <v>273</v>
      </c>
      <c r="D311" s="553">
        <v>818.55</v>
      </c>
      <c r="E311" s="560">
        <v>118586.87100243728</v>
      </c>
      <c r="F311" s="561">
        <f>D311*E311</f>
        <v>97069283.259045035</v>
      </c>
    </row>
    <row r="312" spans="1:6">
      <c r="A312" s="556">
        <v>2</v>
      </c>
      <c r="B312" s="554" t="s">
        <v>910</v>
      </c>
      <c r="C312" s="564" t="s">
        <v>273</v>
      </c>
      <c r="D312" s="553">
        <v>33.85</v>
      </c>
      <c r="E312" s="560">
        <v>118586.87100243728</v>
      </c>
      <c r="F312" s="561">
        <f t="shared" ref="F312:F332" si="20">D312*E312</f>
        <v>4014165.5834325021</v>
      </c>
    </row>
    <row r="313" spans="1:6">
      <c r="A313" s="556">
        <v>3</v>
      </c>
      <c r="B313" s="554" t="s">
        <v>911</v>
      </c>
      <c r="C313" s="564" t="s">
        <v>273</v>
      </c>
      <c r="D313" s="553">
        <v>43.62</v>
      </c>
      <c r="E313" s="560">
        <v>118586.87100243728</v>
      </c>
      <c r="F313" s="561">
        <f t="shared" si="20"/>
        <v>5172759.3131263144</v>
      </c>
    </row>
    <row r="314" spans="1:6">
      <c r="A314" s="556">
        <v>4</v>
      </c>
      <c r="B314" s="554" t="s">
        <v>923</v>
      </c>
      <c r="C314" s="564" t="s">
        <v>273</v>
      </c>
      <c r="D314" s="553">
        <v>44.14</v>
      </c>
      <c r="E314" s="560">
        <v>118586.87100243728</v>
      </c>
      <c r="F314" s="561">
        <f t="shared" si="20"/>
        <v>5234424.4860475818</v>
      </c>
    </row>
    <row r="315" spans="1:6">
      <c r="A315" s="556">
        <v>5</v>
      </c>
      <c r="B315" s="554" t="s">
        <v>924</v>
      </c>
      <c r="C315" s="564" t="s">
        <v>273</v>
      </c>
      <c r="D315" s="553">
        <v>5.08</v>
      </c>
      <c r="E315" s="560">
        <v>118586.87100243728</v>
      </c>
      <c r="F315" s="561">
        <f t="shared" si="20"/>
        <v>602421.30469238141</v>
      </c>
    </row>
    <row r="316" spans="1:6">
      <c r="A316" s="556">
        <v>6</v>
      </c>
      <c r="B316" s="554" t="s">
        <v>925</v>
      </c>
      <c r="C316" s="564" t="s">
        <v>273</v>
      </c>
      <c r="D316" s="553">
        <v>12.61</v>
      </c>
      <c r="E316" s="560">
        <v>118586.87100243728</v>
      </c>
      <c r="F316" s="561">
        <f t="shared" si="20"/>
        <v>1495380.4433407341</v>
      </c>
    </row>
    <row r="317" spans="1:6">
      <c r="A317" s="556">
        <v>7</v>
      </c>
      <c r="B317" s="554" t="s">
        <v>926</v>
      </c>
      <c r="C317" s="564" t="s">
        <v>273</v>
      </c>
      <c r="D317" s="553">
        <v>120</v>
      </c>
      <c r="E317" s="560">
        <v>118586.87100243728</v>
      </c>
      <c r="F317" s="561">
        <f t="shared" si="20"/>
        <v>14230424.520292474</v>
      </c>
    </row>
    <row r="318" spans="1:6">
      <c r="A318" s="556">
        <v>8</v>
      </c>
      <c r="B318" s="554" t="s">
        <v>927</v>
      </c>
      <c r="C318" s="564" t="s">
        <v>273</v>
      </c>
      <c r="D318" s="553">
        <v>4</v>
      </c>
      <c r="E318" s="560">
        <v>131362.13080743729</v>
      </c>
      <c r="F318" s="561">
        <f t="shared" si="20"/>
        <v>525448.52322974917</v>
      </c>
    </row>
    <row r="319" spans="1:6">
      <c r="A319" s="556">
        <v>9</v>
      </c>
      <c r="B319" s="554" t="s">
        <v>928</v>
      </c>
      <c r="C319" s="564" t="s">
        <v>88</v>
      </c>
      <c r="D319" s="553">
        <v>0.32</v>
      </c>
      <c r="E319" s="560">
        <v>1213649.681475</v>
      </c>
      <c r="F319" s="561">
        <f t="shared" si="20"/>
        <v>388367.89807200001</v>
      </c>
    </row>
    <row r="320" spans="1:6">
      <c r="A320" s="556">
        <v>10</v>
      </c>
      <c r="B320" s="554" t="s">
        <v>929</v>
      </c>
      <c r="C320" s="564" t="s">
        <v>88</v>
      </c>
      <c r="D320" s="553">
        <v>1.83</v>
      </c>
      <c r="E320" s="560">
        <v>1405278.57855</v>
      </c>
      <c r="F320" s="561">
        <f t="shared" si="20"/>
        <v>2571659.7987465002</v>
      </c>
    </row>
    <row r="321" spans="1:6">
      <c r="A321" s="556">
        <v>11</v>
      </c>
      <c r="B321" s="554" t="s">
        <v>930</v>
      </c>
      <c r="C321" s="564" t="s">
        <v>90</v>
      </c>
      <c r="D321" s="553">
        <v>7.62</v>
      </c>
      <c r="E321" s="560">
        <v>485459.87259000004</v>
      </c>
      <c r="F321" s="561">
        <f t="shared" si="20"/>
        <v>3699204.2291358002</v>
      </c>
    </row>
    <row r="322" spans="1:6">
      <c r="A322" s="556">
        <v>12</v>
      </c>
      <c r="B322" s="554" t="s">
        <v>931</v>
      </c>
      <c r="C322" s="564" t="s">
        <v>90</v>
      </c>
      <c r="D322" s="553">
        <v>2.97</v>
      </c>
      <c r="E322" s="560">
        <v>664313.50985999999</v>
      </c>
      <c r="F322" s="561">
        <f t="shared" si="20"/>
        <v>1973011.1242842001</v>
      </c>
    </row>
    <row r="323" spans="1:6" ht="33">
      <c r="A323" s="556">
        <v>13</v>
      </c>
      <c r="B323" s="554" t="s">
        <v>932</v>
      </c>
      <c r="C323" s="564" t="s">
        <v>210</v>
      </c>
      <c r="D323" s="553">
        <v>30</v>
      </c>
      <c r="E323" s="560">
        <v>5475.1113450000003</v>
      </c>
      <c r="F323" s="561">
        <f t="shared" si="20"/>
        <v>164253.34035000001</v>
      </c>
    </row>
    <row r="324" spans="1:6" ht="33">
      <c r="A324" s="556">
        <v>14</v>
      </c>
      <c r="B324" s="554" t="s">
        <v>933</v>
      </c>
      <c r="C324" s="564" t="s">
        <v>210</v>
      </c>
      <c r="D324" s="553">
        <v>4</v>
      </c>
      <c r="E324" s="560">
        <v>13991.951215000001</v>
      </c>
      <c r="F324" s="561">
        <f t="shared" si="20"/>
        <v>55967.804860000004</v>
      </c>
    </row>
    <row r="325" spans="1:6">
      <c r="A325" s="556">
        <v>15</v>
      </c>
      <c r="B325" s="554" t="s">
        <v>934</v>
      </c>
      <c r="C325" s="564" t="s">
        <v>210</v>
      </c>
      <c r="D325" s="553">
        <v>2</v>
      </c>
      <c r="E325" s="560">
        <v>34067.359479999999</v>
      </c>
      <c r="F325" s="561">
        <f t="shared" si="20"/>
        <v>68134.718959999998</v>
      </c>
    </row>
    <row r="326" spans="1:6">
      <c r="A326" s="556">
        <v>16</v>
      </c>
      <c r="B326" s="554" t="s">
        <v>935</v>
      </c>
      <c r="C326" s="564" t="s">
        <v>210</v>
      </c>
      <c r="D326" s="553">
        <v>4</v>
      </c>
      <c r="E326" s="560">
        <v>30417.285250000001</v>
      </c>
      <c r="F326" s="561">
        <f t="shared" si="20"/>
        <v>121669.141</v>
      </c>
    </row>
    <row r="327" spans="1:6">
      <c r="A327" s="556">
        <v>17</v>
      </c>
      <c r="B327" s="554" t="s">
        <v>936</v>
      </c>
      <c r="C327" s="564" t="s">
        <v>210</v>
      </c>
      <c r="D327" s="553">
        <v>114</v>
      </c>
      <c r="E327" s="560">
        <v>4380.0890760000002</v>
      </c>
      <c r="F327" s="561">
        <f t="shared" si="20"/>
        <v>499330.15466400003</v>
      </c>
    </row>
    <row r="328" spans="1:6">
      <c r="A328" s="556">
        <v>18</v>
      </c>
      <c r="B328" s="554" t="s">
        <v>937</v>
      </c>
      <c r="C328" s="564" t="s">
        <v>210</v>
      </c>
      <c r="D328" s="553">
        <v>80</v>
      </c>
      <c r="E328" s="560">
        <v>10463.546126000001</v>
      </c>
      <c r="F328" s="561">
        <f t="shared" si="20"/>
        <v>837083.69008000009</v>
      </c>
    </row>
    <row r="329" spans="1:6">
      <c r="A329" s="556">
        <v>19</v>
      </c>
      <c r="B329" s="554" t="s">
        <v>938</v>
      </c>
      <c r="C329" s="564" t="s">
        <v>210</v>
      </c>
      <c r="D329" s="553">
        <v>114</v>
      </c>
      <c r="E329" s="560">
        <v>912.51855750000004</v>
      </c>
      <c r="F329" s="561">
        <f t="shared" si="20"/>
        <v>104027.11555500001</v>
      </c>
    </row>
    <row r="330" spans="1:6">
      <c r="A330" s="556">
        <v>20</v>
      </c>
      <c r="B330" s="554" t="s">
        <v>939</v>
      </c>
      <c r="C330" s="564" t="s">
        <v>210</v>
      </c>
      <c r="D330" s="553">
        <v>4</v>
      </c>
      <c r="E330" s="560">
        <v>365.00742300000002</v>
      </c>
      <c r="F330" s="561">
        <f t="shared" si="20"/>
        <v>1460.0296920000001</v>
      </c>
    </row>
    <row r="331" spans="1:6">
      <c r="A331" s="556">
        <v>21</v>
      </c>
      <c r="B331" s="554" t="s">
        <v>940</v>
      </c>
      <c r="C331" s="564" t="s">
        <v>210</v>
      </c>
      <c r="D331" s="553">
        <v>4</v>
      </c>
      <c r="E331" s="560">
        <v>1034.1876984999999</v>
      </c>
      <c r="F331" s="561">
        <f t="shared" si="20"/>
        <v>4136.7507939999996</v>
      </c>
    </row>
    <row r="332" spans="1:6">
      <c r="A332" s="556">
        <v>22</v>
      </c>
      <c r="B332" s="554" t="s">
        <v>941</v>
      </c>
      <c r="C332" s="564" t="s">
        <v>210</v>
      </c>
      <c r="D332" s="553">
        <v>8</v>
      </c>
      <c r="E332" s="560">
        <v>1095.0222690000001</v>
      </c>
      <c r="F332" s="561">
        <f t="shared" si="20"/>
        <v>8760.1781520000004</v>
      </c>
    </row>
    <row r="333" spans="1:6">
      <c r="A333" s="572" t="s">
        <v>337</v>
      </c>
      <c r="B333" s="568" t="s">
        <v>942</v>
      </c>
      <c r="C333" s="564"/>
      <c r="D333" s="553">
        <v>0</v>
      </c>
      <c r="E333" s="554"/>
      <c r="F333" s="555">
        <f>SUM(F334:F346)</f>
        <v>42920113.660825409</v>
      </c>
    </row>
    <row r="334" spans="1:6">
      <c r="A334" s="556">
        <v>1</v>
      </c>
      <c r="B334" s="557" t="s">
        <v>909</v>
      </c>
      <c r="C334" s="566" t="s">
        <v>273</v>
      </c>
      <c r="D334" s="553">
        <v>277.23</v>
      </c>
      <c r="E334" s="560">
        <v>118586.87100243728</v>
      </c>
      <c r="F334" s="561">
        <f>D334*E334</f>
        <v>32875838.248005692</v>
      </c>
    </row>
    <row r="335" spans="1:6">
      <c r="A335" s="556">
        <v>2</v>
      </c>
      <c r="B335" s="557" t="s">
        <v>911</v>
      </c>
      <c r="C335" s="566" t="s">
        <v>273</v>
      </c>
      <c r="D335" s="553">
        <v>2.8</v>
      </c>
      <c r="E335" s="560">
        <v>118586.87100243728</v>
      </c>
      <c r="F335" s="561">
        <f t="shared" ref="F335:F346" si="21">D335*E335</f>
        <v>332043.23880682437</v>
      </c>
    </row>
    <row r="336" spans="1:6">
      <c r="A336" s="556">
        <v>3</v>
      </c>
      <c r="B336" s="557" t="s">
        <v>912</v>
      </c>
      <c r="C336" s="566" t="s">
        <v>273</v>
      </c>
      <c r="D336" s="553">
        <v>29</v>
      </c>
      <c r="E336" s="560">
        <v>118586.87100243728</v>
      </c>
      <c r="F336" s="561">
        <f t="shared" si="21"/>
        <v>3439019.2590706814</v>
      </c>
    </row>
    <row r="337" spans="1:6">
      <c r="A337" s="556">
        <v>4</v>
      </c>
      <c r="B337" s="557" t="s">
        <v>943</v>
      </c>
      <c r="C337" s="566" t="s">
        <v>273</v>
      </c>
      <c r="D337" s="553">
        <v>7.6</v>
      </c>
      <c r="E337" s="560">
        <v>118586.87100243728</v>
      </c>
      <c r="F337" s="561">
        <f t="shared" si="21"/>
        <v>901260.21961852338</v>
      </c>
    </row>
    <row r="338" spans="1:6">
      <c r="A338" s="556">
        <v>5</v>
      </c>
      <c r="B338" s="557" t="s">
        <v>926</v>
      </c>
      <c r="C338" s="566" t="s">
        <v>273</v>
      </c>
      <c r="D338" s="553">
        <v>7</v>
      </c>
      <c r="E338" s="560">
        <v>118586.87100243728</v>
      </c>
      <c r="F338" s="561">
        <f t="shared" si="21"/>
        <v>830108.09701706097</v>
      </c>
    </row>
    <row r="339" spans="1:6">
      <c r="A339" s="556">
        <v>6</v>
      </c>
      <c r="B339" s="557" t="s">
        <v>944</v>
      </c>
      <c r="C339" s="566" t="s">
        <v>273</v>
      </c>
      <c r="D339" s="553">
        <v>13</v>
      </c>
      <c r="E339" s="560">
        <v>131362.13080743729</v>
      </c>
      <c r="F339" s="561">
        <f t="shared" si="21"/>
        <v>1707707.7004966848</v>
      </c>
    </row>
    <row r="340" spans="1:6">
      <c r="A340" s="556">
        <v>7</v>
      </c>
      <c r="B340" s="557" t="s">
        <v>945</v>
      </c>
      <c r="C340" s="566" t="s">
        <v>273</v>
      </c>
      <c r="D340" s="553">
        <v>7.28</v>
      </c>
      <c r="E340" s="560">
        <v>131362.13080743729</v>
      </c>
      <c r="F340" s="561">
        <f t="shared" si="21"/>
        <v>956316.31227814348</v>
      </c>
    </row>
    <row r="341" spans="1:6">
      <c r="A341" s="556">
        <v>8</v>
      </c>
      <c r="B341" s="557" t="s">
        <v>946</v>
      </c>
      <c r="C341" s="566" t="s">
        <v>273</v>
      </c>
      <c r="D341" s="553">
        <v>5.2</v>
      </c>
      <c r="E341" s="560">
        <v>131362.13080743729</v>
      </c>
      <c r="F341" s="561">
        <f t="shared" si="21"/>
        <v>683083.080198674</v>
      </c>
    </row>
    <row r="342" spans="1:6">
      <c r="A342" s="556">
        <v>9</v>
      </c>
      <c r="B342" s="557" t="s">
        <v>947</v>
      </c>
      <c r="C342" s="566" t="s">
        <v>273</v>
      </c>
      <c r="D342" s="553">
        <v>5.04</v>
      </c>
      <c r="E342" s="560">
        <v>229731.63130593731</v>
      </c>
      <c r="F342" s="561">
        <f t="shared" si="21"/>
        <v>1157847.4217819241</v>
      </c>
    </row>
    <row r="343" spans="1:6">
      <c r="A343" s="556">
        <v>10</v>
      </c>
      <c r="B343" s="562" t="s">
        <v>948</v>
      </c>
      <c r="C343" s="566" t="s">
        <v>210</v>
      </c>
      <c r="D343" s="553">
        <v>4</v>
      </c>
      <c r="E343" s="560">
        <v>6691.8027549999997</v>
      </c>
      <c r="F343" s="561">
        <f t="shared" si="21"/>
        <v>26767.211019999999</v>
      </c>
    </row>
    <row r="344" spans="1:6">
      <c r="A344" s="556">
        <v>11</v>
      </c>
      <c r="B344" s="562" t="s">
        <v>949</v>
      </c>
      <c r="C344" s="566" t="s">
        <v>210</v>
      </c>
      <c r="D344" s="553">
        <v>4</v>
      </c>
      <c r="E344" s="560">
        <v>973.35312799999997</v>
      </c>
      <c r="F344" s="561">
        <f t="shared" si="21"/>
        <v>3893.4125119999999</v>
      </c>
    </row>
    <row r="345" spans="1:6">
      <c r="A345" s="556">
        <v>12</v>
      </c>
      <c r="B345" s="562" t="s">
        <v>950</v>
      </c>
      <c r="C345" s="566" t="s">
        <v>210</v>
      </c>
      <c r="D345" s="553">
        <v>4</v>
      </c>
      <c r="E345" s="560">
        <v>340.67359479999999</v>
      </c>
      <c r="F345" s="561">
        <f t="shared" si="21"/>
        <v>1362.6943792</v>
      </c>
    </row>
    <row r="346" spans="1:6">
      <c r="A346" s="556">
        <v>13</v>
      </c>
      <c r="B346" s="557" t="s">
        <v>951</v>
      </c>
      <c r="C346" s="566" t="s">
        <v>918</v>
      </c>
      <c r="D346" s="553">
        <v>4</v>
      </c>
      <c r="E346" s="560">
        <v>1216.6914099999999</v>
      </c>
      <c r="F346" s="561">
        <f t="shared" si="21"/>
        <v>4866.7656399999996</v>
      </c>
    </row>
    <row r="347" spans="1:6">
      <c r="A347" s="572" t="s">
        <v>902</v>
      </c>
      <c r="B347" s="568" t="s">
        <v>336</v>
      </c>
      <c r="C347" s="564"/>
      <c r="D347" s="553">
        <v>0</v>
      </c>
      <c r="E347" s="554"/>
      <c r="F347" s="555">
        <f>SUM(F348:F360)</f>
        <v>11132218.726338301</v>
      </c>
    </row>
    <row r="348" spans="1:6">
      <c r="A348" s="556">
        <v>1</v>
      </c>
      <c r="B348" s="557" t="s">
        <v>952</v>
      </c>
      <c r="C348" s="567" t="s">
        <v>273</v>
      </c>
      <c r="D348" s="559">
        <v>0.4</v>
      </c>
      <c r="E348" s="560">
        <v>118586.87100243728</v>
      </c>
      <c r="F348" s="561">
        <f>D348*E348</f>
        <v>47434.748400974917</v>
      </c>
    </row>
    <row r="349" spans="1:6">
      <c r="A349" s="556">
        <v>2</v>
      </c>
      <c r="B349" s="557" t="s">
        <v>953</v>
      </c>
      <c r="C349" s="567" t="s">
        <v>273</v>
      </c>
      <c r="D349" s="559">
        <v>4.12</v>
      </c>
      <c r="E349" s="560">
        <v>118586.87100243728</v>
      </c>
      <c r="F349" s="561">
        <f t="shared" ref="F349:F360" si="22">D349*E349</f>
        <v>488577.90853004163</v>
      </c>
    </row>
    <row r="350" spans="1:6">
      <c r="A350" s="556">
        <v>3</v>
      </c>
      <c r="B350" s="557" t="s">
        <v>912</v>
      </c>
      <c r="C350" s="567" t="s">
        <v>273</v>
      </c>
      <c r="D350" s="559">
        <v>0.92</v>
      </c>
      <c r="E350" s="560">
        <v>118586.87100243728</v>
      </c>
      <c r="F350" s="561">
        <f t="shared" si="22"/>
        <v>109099.92132224231</v>
      </c>
    </row>
    <row r="351" spans="1:6">
      <c r="A351" s="556">
        <v>4</v>
      </c>
      <c r="B351" s="557" t="s">
        <v>954</v>
      </c>
      <c r="C351" s="567" t="s">
        <v>273</v>
      </c>
      <c r="D351" s="559">
        <v>19.03</v>
      </c>
      <c r="E351" s="560">
        <v>118586.87100243728</v>
      </c>
      <c r="F351" s="561">
        <f t="shared" si="22"/>
        <v>2256708.1551763816</v>
      </c>
    </row>
    <row r="352" spans="1:6">
      <c r="A352" s="556">
        <v>5</v>
      </c>
      <c r="B352" s="557" t="s">
        <v>943</v>
      </c>
      <c r="C352" s="567" t="s">
        <v>273</v>
      </c>
      <c r="D352" s="559">
        <v>32.93</v>
      </c>
      <c r="E352" s="560">
        <v>118586.87100243728</v>
      </c>
      <c r="F352" s="561">
        <f t="shared" si="22"/>
        <v>3905065.6621102598</v>
      </c>
    </row>
    <row r="353" spans="1:6">
      <c r="A353" s="556">
        <v>6</v>
      </c>
      <c r="B353" s="557" t="s">
        <v>955</v>
      </c>
      <c r="C353" s="567" t="s">
        <v>273</v>
      </c>
      <c r="D353" s="559">
        <v>14.6</v>
      </c>
      <c r="E353" s="560">
        <v>131362.13080743729</v>
      </c>
      <c r="F353" s="561">
        <f t="shared" si="22"/>
        <v>1917887.1097885845</v>
      </c>
    </row>
    <row r="354" spans="1:6">
      <c r="A354" s="556">
        <v>7</v>
      </c>
      <c r="B354" s="557" t="s">
        <v>956</v>
      </c>
      <c r="C354" s="567" t="s">
        <v>273</v>
      </c>
      <c r="D354" s="559">
        <v>14.6</v>
      </c>
      <c r="E354" s="560">
        <v>131362.13080743729</v>
      </c>
      <c r="F354" s="561">
        <f t="shared" si="22"/>
        <v>1917887.1097885845</v>
      </c>
    </row>
    <row r="355" spans="1:6">
      <c r="A355" s="556">
        <v>8</v>
      </c>
      <c r="B355" s="557" t="s">
        <v>957</v>
      </c>
      <c r="C355" s="567" t="s">
        <v>273</v>
      </c>
      <c r="D355" s="559">
        <v>1.1000000000000001</v>
      </c>
      <c r="E355" s="560">
        <v>229731.63130593731</v>
      </c>
      <c r="F355" s="561">
        <f t="shared" si="22"/>
        <v>252704.79443653105</v>
      </c>
    </row>
    <row r="356" spans="1:6">
      <c r="A356" s="556">
        <v>9</v>
      </c>
      <c r="B356" s="557" t="s">
        <v>958</v>
      </c>
      <c r="C356" s="567" t="s">
        <v>918</v>
      </c>
      <c r="D356" s="559">
        <v>5</v>
      </c>
      <c r="E356" s="560">
        <v>3321.5675492999999</v>
      </c>
      <c r="F356" s="561">
        <f t="shared" si="22"/>
        <v>16607.837746500001</v>
      </c>
    </row>
    <row r="357" spans="1:6">
      <c r="A357" s="556">
        <v>10</v>
      </c>
      <c r="B357" s="557" t="s">
        <v>959</v>
      </c>
      <c r="C357" s="567" t="s">
        <v>918</v>
      </c>
      <c r="D357" s="559">
        <v>1</v>
      </c>
      <c r="E357" s="560">
        <v>9855.2004209999996</v>
      </c>
      <c r="F357" s="561">
        <f t="shared" si="22"/>
        <v>9855.2004209999996</v>
      </c>
    </row>
    <row r="358" spans="1:6">
      <c r="A358" s="556">
        <v>11</v>
      </c>
      <c r="B358" s="557" t="s">
        <v>960</v>
      </c>
      <c r="C358" s="567" t="s">
        <v>918</v>
      </c>
      <c r="D358" s="559">
        <v>6</v>
      </c>
      <c r="E358" s="560">
        <v>10341.876984999999</v>
      </c>
      <c r="F358" s="561">
        <f t="shared" si="22"/>
        <v>62051.261909999994</v>
      </c>
    </row>
    <row r="359" spans="1:6">
      <c r="A359" s="556">
        <v>12</v>
      </c>
      <c r="B359" s="557" t="s">
        <v>961</v>
      </c>
      <c r="C359" s="567" t="s">
        <v>918</v>
      </c>
      <c r="D359" s="559">
        <v>6</v>
      </c>
      <c r="E359" s="560">
        <v>24333.8282</v>
      </c>
      <c r="F359" s="561">
        <f t="shared" si="22"/>
        <v>146002.96919999999</v>
      </c>
    </row>
    <row r="360" spans="1:6">
      <c r="A360" s="556">
        <v>13</v>
      </c>
      <c r="B360" s="557" t="s">
        <v>962</v>
      </c>
      <c r="C360" s="567" t="s">
        <v>210</v>
      </c>
      <c r="D360" s="559">
        <v>6</v>
      </c>
      <c r="E360" s="560">
        <v>389.34125119999999</v>
      </c>
      <c r="F360" s="561">
        <f t="shared" si="22"/>
        <v>2336.0475071999999</v>
      </c>
    </row>
    <row r="361" spans="1:6">
      <c r="A361" s="572" t="s">
        <v>903</v>
      </c>
      <c r="B361" s="568" t="s">
        <v>1000</v>
      </c>
      <c r="C361" s="564"/>
      <c r="D361" s="553">
        <v>0</v>
      </c>
      <c r="E361" s="554"/>
      <c r="F361" s="555">
        <f>SUM(F362:F364)</f>
        <v>3786165.5895592449</v>
      </c>
    </row>
    <row r="362" spans="1:6">
      <c r="A362" s="556">
        <v>1</v>
      </c>
      <c r="B362" s="557" t="s">
        <v>963</v>
      </c>
      <c r="C362" s="566" t="s">
        <v>273</v>
      </c>
      <c r="D362" s="553">
        <v>16.5</v>
      </c>
      <c r="E362" s="560">
        <v>142859.86463193729</v>
      </c>
      <c r="F362" s="561">
        <f>D362*E362</f>
        <v>2357187.7664269651</v>
      </c>
    </row>
    <row r="363" spans="1:6">
      <c r="A363" s="556">
        <v>2</v>
      </c>
      <c r="B363" s="557" t="s">
        <v>964</v>
      </c>
      <c r="C363" s="566" t="s">
        <v>273</v>
      </c>
      <c r="D363" s="553">
        <v>5.5</v>
      </c>
      <c r="E363" s="560">
        <v>142859.86463193729</v>
      </c>
      <c r="F363" s="561">
        <f>D363*E363</f>
        <v>785729.25547565508</v>
      </c>
    </row>
    <row r="364" spans="1:6">
      <c r="A364" s="556">
        <v>3</v>
      </c>
      <c r="B364" s="557" t="s">
        <v>957</v>
      </c>
      <c r="C364" s="566" t="s">
        <v>273</v>
      </c>
      <c r="D364" s="553">
        <v>2.8</v>
      </c>
      <c r="E364" s="560">
        <v>229731.63130593731</v>
      </c>
      <c r="F364" s="561">
        <f>D364*E364</f>
        <v>643248.56765662436</v>
      </c>
    </row>
    <row r="365" spans="1:6" ht="33">
      <c r="A365" s="550" t="s">
        <v>904</v>
      </c>
      <c r="B365" s="568" t="s">
        <v>1001</v>
      </c>
      <c r="C365" s="558"/>
      <c r="D365" s="559">
        <v>0</v>
      </c>
      <c r="E365" s="557"/>
      <c r="F365" s="555">
        <f>SUM(F366:F374)</f>
        <v>3669379.502345569</v>
      </c>
    </row>
    <row r="366" spans="1:6">
      <c r="A366" s="569">
        <v>1</v>
      </c>
      <c r="B366" s="562" t="s">
        <v>965</v>
      </c>
      <c r="C366" s="566" t="s">
        <v>273</v>
      </c>
      <c r="D366" s="553">
        <v>5.53</v>
      </c>
      <c r="E366" s="560">
        <v>118586.87100243728</v>
      </c>
      <c r="F366" s="561">
        <f>D366*E366</f>
        <v>655785.39664347819</v>
      </c>
    </row>
    <row r="367" spans="1:6">
      <c r="A367" s="569">
        <v>2</v>
      </c>
      <c r="B367" s="562" t="s">
        <v>966</v>
      </c>
      <c r="C367" s="566" t="s">
        <v>273</v>
      </c>
      <c r="D367" s="553">
        <v>14.47</v>
      </c>
      <c r="E367" s="560">
        <v>118586.87100243728</v>
      </c>
      <c r="F367" s="561">
        <f t="shared" ref="F367:F374" si="23">D367*E367</f>
        <v>1715952.0234052676</v>
      </c>
    </row>
    <row r="368" spans="1:6">
      <c r="A368" s="569">
        <v>3</v>
      </c>
      <c r="B368" s="562" t="s">
        <v>967</v>
      </c>
      <c r="C368" s="566" t="s">
        <v>273</v>
      </c>
      <c r="D368" s="553">
        <v>5</v>
      </c>
      <c r="E368" s="560">
        <v>131362.13080743729</v>
      </c>
      <c r="F368" s="561">
        <f t="shared" si="23"/>
        <v>656810.65403718641</v>
      </c>
    </row>
    <row r="369" spans="1:6">
      <c r="A369" s="569">
        <v>4</v>
      </c>
      <c r="B369" s="562" t="s">
        <v>968</v>
      </c>
      <c r="C369" s="566" t="s">
        <v>273</v>
      </c>
      <c r="D369" s="553">
        <v>2.5</v>
      </c>
      <c r="E369" s="560">
        <v>131362.13080743729</v>
      </c>
      <c r="F369" s="561">
        <f t="shared" si="23"/>
        <v>328405.32701859321</v>
      </c>
    </row>
    <row r="370" spans="1:6">
      <c r="A370" s="569">
        <v>5</v>
      </c>
      <c r="B370" s="562" t="s">
        <v>956</v>
      </c>
      <c r="C370" s="566" t="s">
        <v>273</v>
      </c>
      <c r="D370" s="553">
        <v>1.7</v>
      </c>
      <c r="E370" s="560">
        <v>131362.13080743729</v>
      </c>
      <c r="F370" s="561">
        <f t="shared" si="23"/>
        <v>223315.62237264338</v>
      </c>
    </row>
    <row r="371" spans="1:6">
      <c r="A371" s="569">
        <v>6</v>
      </c>
      <c r="B371" s="562" t="s">
        <v>969</v>
      </c>
      <c r="C371" s="566" t="s">
        <v>210</v>
      </c>
      <c r="D371" s="553">
        <v>8</v>
      </c>
      <c r="E371" s="560">
        <v>365.00742300000002</v>
      </c>
      <c r="F371" s="561">
        <f t="shared" si="23"/>
        <v>2920.0593840000001</v>
      </c>
    </row>
    <row r="372" spans="1:6">
      <c r="A372" s="569">
        <v>7</v>
      </c>
      <c r="B372" s="562" t="s">
        <v>970</v>
      </c>
      <c r="C372" s="566" t="s">
        <v>210</v>
      </c>
      <c r="D372" s="553">
        <v>8</v>
      </c>
      <c r="E372" s="560">
        <v>340.67359479999999</v>
      </c>
      <c r="F372" s="561">
        <f t="shared" si="23"/>
        <v>2725.3887583999999</v>
      </c>
    </row>
    <row r="373" spans="1:6">
      <c r="A373" s="569">
        <v>8</v>
      </c>
      <c r="B373" s="562" t="s">
        <v>949</v>
      </c>
      <c r="C373" s="566" t="s">
        <v>210</v>
      </c>
      <c r="D373" s="553">
        <v>16</v>
      </c>
      <c r="E373" s="560">
        <v>4988.4347809999999</v>
      </c>
      <c r="F373" s="561">
        <f t="shared" si="23"/>
        <v>79814.956495999999</v>
      </c>
    </row>
    <row r="374" spans="1:6">
      <c r="A374" s="569">
        <v>9</v>
      </c>
      <c r="B374" s="562" t="s">
        <v>971</v>
      </c>
      <c r="C374" s="566" t="s">
        <v>210</v>
      </c>
      <c r="D374" s="553">
        <v>4</v>
      </c>
      <c r="E374" s="560">
        <v>912.51855750000004</v>
      </c>
      <c r="F374" s="561">
        <f t="shared" si="23"/>
        <v>3650.0742300000002</v>
      </c>
    </row>
    <row r="375" spans="1:6">
      <c r="A375" s="550" t="s">
        <v>905</v>
      </c>
      <c r="B375" s="568" t="s">
        <v>972</v>
      </c>
      <c r="C375" s="564"/>
      <c r="D375" s="553">
        <v>0</v>
      </c>
      <c r="E375" s="554"/>
      <c r="F375" s="555">
        <f>SUM(F376:F382)</f>
        <v>7117370.6599739809</v>
      </c>
    </row>
    <row r="376" spans="1:6">
      <c r="A376" s="569">
        <v>1</v>
      </c>
      <c r="B376" s="557" t="s">
        <v>973</v>
      </c>
      <c r="C376" s="564" t="s">
        <v>273</v>
      </c>
      <c r="D376" s="553">
        <v>46.89</v>
      </c>
      <c r="E376" s="560">
        <v>118586.87100243728</v>
      </c>
      <c r="F376" s="561">
        <f>D376*E376</f>
        <v>5560538.3813042846</v>
      </c>
    </row>
    <row r="377" spans="1:6">
      <c r="A377" s="569">
        <v>2</v>
      </c>
      <c r="B377" s="557" t="s">
        <v>974</v>
      </c>
      <c r="C377" s="564" t="s">
        <v>273</v>
      </c>
      <c r="D377" s="553">
        <v>4.66</v>
      </c>
      <c r="E377" s="560">
        <v>118586.87100243728</v>
      </c>
      <c r="F377" s="561">
        <f t="shared" ref="F377:F382" si="24">D377*E377</f>
        <v>552614.81887135771</v>
      </c>
    </row>
    <row r="378" spans="1:6">
      <c r="A378" s="569">
        <v>3</v>
      </c>
      <c r="B378" s="557" t="s">
        <v>911</v>
      </c>
      <c r="C378" s="564" t="s">
        <v>273</v>
      </c>
      <c r="D378" s="553">
        <v>6.73</v>
      </c>
      <c r="E378" s="560">
        <v>118586.87100243728</v>
      </c>
      <c r="F378" s="561">
        <f t="shared" si="24"/>
        <v>798089.64184640301</v>
      </c>
    </row>
    <row r="379" spans="1:6">
      <c r="A379" s="569">
        <v>4</v>
      </c>
      <c r="B379" s="557" t="s">
        <v>975</v>
      </c>
      <c r="C379" s="564" t="s">
        <v>273</v>
      </c>
      <c r="D379" s="553">
        <v>1</v>
      </c>
      <c r="E379" s="560">
        <v>131362.13080743729</v>
      </c>
      <c r="F379" s="561">
        <f t="shared" si="24"/>
        <v>131362.13080743729</v>
      </c>
    </row>
    <row r="380" spans="1:6">
      <c r="A380" s="569">
        <v>5</v>
      </c>
      <c r="B380" s="557" t="s">
        <v>976</v>
      </c>
      <c r="C380" s="564" t="s">
        <v>210</v>
      </c>
      <c r="D380" s="553">
        <v>2</v>
      </c>
      <c r="E380" s="560">
        <v>15969.074756250002</v>
      </c>
      <c r="F380" s="561">
        <f t="shared" si="24"/>
        <v>31938.149512500004</v>
      </c>
    </row>
    <row r="381" spans="1:6">
      <c r="A381" s="569">
        <v>6</v>
      </c>
      <c r="B381" s="557" t="s">
        <v>977</v>
      </c>
      <c r="C381" s="564" t="s">
        <v>335</v>
      </c>
      <c r="D381" s="553">
        <v>1</v>
      </c>
      <c r="E381" s="560">
        <v>12166.9141</v>
      </c>
      <c r="F381" s="561">
        <f t="shared" si="24"/>
        <v>12166.9141</v>
      </c>
    </row>
    <row r="382" spans="1:6">
      <c r="A382" s="569">
        <v>7</v>
      </c>
      <c r="B382" s="557" t="s">
        <v>978</v>
      </c>
      <c r="C382" s="564" t="s">
        <v>918</v>
      </c>
      <c r="D382" s="553">
        <v>12</v>
      </c>
      <c r="E382" s="560">
        <v>2555.0519610000001</v>
      </c>
      <c r="F382" s="561">
        <f t="shared" si="24"/>
        <v>30660.623532000001</v>
      </c>
    </row>
    <row r="383" spans="1:6">
      <c r="A383" s="550" t="s">
        <v>906</v>
      </c>
      <c r="B383" s="568" t="s">
        <v>979</v>
      </c>
      <c r="C383" s="564"/>
      <c r="D383" s="553">
        <v>0</v>
      </c>
      <c r="E383" s="554"/>
      <c r="F383" s="555">
        <f>SUM(F384:F387)</f>
        <v>52380585.805275187</v>
      </c>
    </row>
    <row r="384" spans="1:6">
      <c r="A384" s="569">
        <v>1</v>
      </c>
      <c r="B384" s="557" t="s">
        <v>980</v>
      </c>
      <c r="C384" s="558" t="s">
        <v>273</v>
      </c>
      <c r="D384" s="570">
        <v>42.08</v>
      </c>
      <c r="E384" s="560">
        <v>29207.954216327329</v>
      </c>
      <c r="F384" s="561">
        <f>D384*E384</f>
        <v>1229070.713423054</v>
      </c>
    </row>
    <row r="385" spans="1:6">
      <c r="A385" s="569">
        <v>2</v>
      </c>
      <c r="B385" s="557" t="s">
        <v>981</v>
      </c>
      <c r="C385" s="558" t="s">
        <v>273</v>
      </c>
      <c r="D385" s="570">
        <v>534.79</v>
      </c>
      <c r="E385" s="560">
        <v>91806.72726082732</v>
      </c>
      <c r="F385" s="561">
        <f>D385*E385</f>
        <v>49097319.671817839</v>
      </c>
    </row>
    <row r="386" spans="1:6" ht="33">
      <c r="A386" s="569">
        <v>3</v>
      </c>
      <c r="B386" s="557" t="s">
        <v>982</v>
      </c>
      <c r="C386" s="558" t="s">
        <v>273</v>
      </c>
      <c r="D386" s="570">
        <v>54.5</v>
      </c>
      <c r="E386" s="560">
        <v>29207.954216327329</v>
      </c>
      <c r="F386" s="561">
        <f>D386*E386</f>
        <v>1591833.5047898395</v>
      </c>
    </row>
    <row r="387" spans="1:6">
      <c r="A387" s="569">
        <v>4</v>
      </c>
      <c r="B387" s="557" t="s">
        <v>983</v>
      </c>
      <c r="C387" s="558" t="s">
        <v>273</v>
      </c>
      <c r="D387" s="570">
        <v>15.83</v>
      </c>
      <c r="E387" s="560">
        <v>29207.954216327329</v>
      </c>
      <c r="F387" s="561">
        <f>D387*E387</f>
        <v>462361.91524446162</v>
      </c>
    </row>
    <row r="388" spans="1:6">
      <c r="A388" s="550" t="s">
        <v>907</v>
      </c>
      <c r="B388" s="568" t="s">
        <v>984</v>
      </c>
      <c r="C388" s="564"/>
      <c r="D388" s="553">
        <v>0</v>
      </c>
      <c r="E388" s="560"/>
      <c r="F388" s="571">
        <f>SUM(F389:F392)</f>
        <v>39429594.675962582</v>
      </c>
    </row>
    <row r="389" spans="1:6">
      <c r="A389" s="569">
        <v>1</v>
      </c>
      <c r="B389" s="557" t="s">
        <v>980</v>
      </c>
      <c r="C389" s="564" t="s">
        <v>273</v>
      </c>
      <c r="D389" s="553">
        <v>30.28</v>
      </c>
      <c r="E389" s="560">
        <v>29207.954216327329</v>
      </c>
      <c r="F389" s="561">
        <f>D389*E389</f>
        <v>884416.8536703916</v>
      </c>
    </row>
    <row r="390" spans="1:6">
      <c r="A390" s="569">
        <v>2</v>
      </c>
      <c r="B390" s="557" t="s">
        <v>985</v>
      </c>
      <c r="C390" s="564" t="s">
        <v>273</v>
      </c>
      <c r="D390" s="553">
        <v>399.42</v>
      </c>
      <c r="E390" s="560">
        <v>91806.72726082732</v>
      </c>
      <c r="F390" s="561">
        <f>D390*E390</f>
        <v>36669443.002519652</v>
      </c>
    </row>
    <row r="391" spans="1:6" ht="33">
      <c r="A391" s="569">
        <v>3</v>
      </c>
      <c r="B391" s="557" t="s">
        <v>982</v>
      </c>
      <c r="C391" s="564" t="s">
        <v>273</v>
      </c>
      <c r="D391" s="553">
        <v>51.4</v>
      </c>
      <c r="E391" s="560">
        <v>29207.954216327329</v>
      </c>
      <c r="F391" s="561">
        <f>D391*E391</f>
        <v>1501288.8467192247</v>
      </c>
    </row>
    <row r="392" spans="1:6" ht="19.5" thickBot="1">
      <c r="A392" s="573">
        <v>4</v>
      </c>
      <c r="B392" s="574" t="s">
        <v>983</v>
      </c>
      <c r="C392" s="575" t="s">
        <v>273</v>
      </c>
      <c r="D392" s="576">
        <v>12.82</v>
      </c>
      <c r="E392" s="577">
        <v>29207.954216327329</v>
      </c>
      <c r="F392" s="578">
        <f>D392*E392</f>
        <v>374445.97305331635</v>
      </c>
    </row>
  </sheetData>
  <mergeCells count="6">
    <mergeCell ref="A296:F296"/>
    <mergeCell ref="A1:F1"/>
    <mergeCell ref="A2:F2"/>
    <mergeCell ref="A5:F5"/>
    <mergeCell ref="A102:F102"/>
    <mergeCell ref="A199:F199"/>
  </mergeCells>
  <pageMargins left="0.63" right="0.27" top="0.65" bottom="0.56000000000000005" header="0.3" footer="0.3"/>
  <pageSetup paperSize="9" orientation="portrait" r:id="rId1"/>
  <headerFooter>
    <oddFooter>&amp;CTrang &amp;P</oddFooter>
  </headerFooter>
</worksheet>
</file>

<file path=xl/worksheets/sheet23.xml><?xml version="1.0" encoding="utf-8"?>
<worksheet xmlns="http://schemas.openxmlformats.org/spreadsheetml/2006/main" xmlns:r="http://schemas.openxmlformats.org/officeDocument/2006/relationships">
  <sheetPr>
    <tabColor theme="9" tint="-0.249977111117893"/>
  </sheetPr>
  <dimension ref="A1:AI22"/>
  <sheetViews>
    <sheetView showZeros="0" view="pageBreakPreview" topLeftCell="A4" zoomScaleSheetLayoutView="100" workbookViewId="0">
      <pane ySplit="900" topLeftCell="A7" activePane="bottomLeft"/>
      <selection activeCell="I529" sqref="I529"/>
      <selection pane="bottomLeft" activeCell="I529" sqref="I529"/>
    </sheetView>
  </sheetViews>
  <sheetFormatPr defaultRowHeight="15"/>
  <cols>
    <col min="1" max="1" width="5.5703125" style="417" bestFit="1" customWidth="1"/>
    <col min="2" max="2" width="12.42578125" style="417" customWidth="1"/>
    <col min="3" max="5" width="10.7109375" style="417" customWidth="1"/>
    <col min="6" max="8" width="10.7109375" style="436" customWidth="1"/>
    <col min="9" max="11" width="10.7109375" style="417" customWidth="1"/>
    <col min="12" max="12" width="16" style="417" bestFit="1" customWidth="1"/>
    <col min="13" max="14" width="13" style="436" hidden="1" customWidth="1"/>
    <col min="15" max="15" width="12.7109375" style="417" hidden="1" customWidth="1"/>
    <col min="16" max="16" width="8.42578125" style="417" hidden="1" customWidth="1"/>
    <col min="17" max="19" width="9.140625" style="417" hidden="1" customWidth="1"/>
    <col min="20" max="20" width="15" style="417" hidden="1" customWidth="1"/>
    <col min="21" max="31" width="0" style="417" hidden="1" customWidth="1"/>
    <col min="32" max="32" width="9.140625" style="417"/>
    <col min="33" max="33" width="10.42578125" style="417" bestFit="1" customWidth="1"/>
    <col min="34" max="34" width="24.140625" style="417" customWidth="1"/>
    <col min="35" max="35" width="9.5703125" style="417" bestFit="1" customWidth="1"/>
    <col min="36" max="255" width="9.140625" style="417"/>
    <col min="256" max="256" width="5.5703125" style="417" bestFit="1" customWidth="1"/>
    <col min="257" max="257" width="12.42578125" style="417" customWidth="1"/>
    <col min="258" max="258" width="15.85546875" style="417" customWidth="1"/>
    <col min="259" max="259" width="0" style="417" hidden="1" customWidth="1"/>
    <col min="260" max="260" width="13.28515625" style="417" customWidth="1"/>
    <col min="261" max="261" width="15.140625" style="417" customWidth="1"/>
    <col min="262" max="262" width="13" style="417" customWidth="1"/>
    <col min="263" max="263" width="0" style="417" hidden="1" customWidth="1"/>
    <col min="264" max="264" width="13" style="417" customWidth="1"/>
    <col min="265" max="265" width="15.42578125" style="417" customWidth="1"/>
    <col min="266" max="266" width="15.85546875" style="417" customWidth="1"/>
    <col min="267" max="267" width="0" style="417" hidden="1" customWidth="1"/>
    <col min="268" max="268" width="16" style="417" bestFit="1" customWidth="1"/>
    <col min="269" max="287" width="0" style="417" hidden="1" customWidth="1"/>
    <col min="288" max="511" width="9.140625" style="417"/>
    <col min="512" max="512" width="5.5703125" style="417" bestFit="1" customWidth="1"/>
    <col min="513" max="513" width="12.42578125" style="417" customWidth="1"/>
    <col min="514" max="514" width="15.85546875" style="417" customWidth="1"/>
    <col min="515" max="515" width="0" style="417" hidden="1" customWidth="1"/>
    <col min="516" max="516" width="13.28515625" style="417" customWidth="1"/>
    <col min="517" max="517" width="15.140625" style="417" customWidth="1"/>
    <col min="518" max="518" width="13" style="417" customWidth="1"/>
    <col min="519" max="519" width="0" style="417" hidden="1" customWidth="1"/>
    <col min="520" max="520" width="13" style="417" customWidth="1"/>
    <col min="521" max="521" width="15.42578125" style="417" customWidth="1"/>
    <col min="522" max="522" width="15.85546875" style="417" customWidth="1"/>
    <col min="523" max="523" width="0" style="417" hidden="1" customWidth="1"/>
    <col min="524" max="524" width="16" style="417" bestFit="1" customWidth="1"/>
    <col min="525" max="543" width="0" style="417" hidden="1" customWidth="1"/>
    <col min="544" max="767" width="9.140625" style="417"/>
    <col min="768" max="768" width="5.5703125" style="417" bestFit="1" customWidth="1"/>
    <col min="769" max="769" width="12.42578125" style="417" customWidth="1"/>
    <col min="770" max="770" width="15.85546875" style="417" customWidth="1"/>
    <col min="771" max="771" width="0" style="417" hidden="1" customWidth="1"/>
    <col min="772" max="772" width="13.28515625" style="417" customWidth="1"/>
    <col min="773" max="773" width="15.140625" style="417" customWidth="1"/>
    <col min="774" max="774" width="13" style="417" customWidth="1"/>
    <col min="775" max="775" width="0" style="417" hidden="1" customWidth="1"/>
    <col min="776" max="776" width="13" style="417" customWidth="1"/>
    <col min="777" max="777" width="15.42578125" style="417" customWidth="1"/>
    <col min="778" max="778" width="15.85546875" style="417" customWidth="1"/>
    <col min="779" max="779" width="0" style="417" hidden="1" customWidth="1"/>
    <col min="780" max="780" width="16" style="417" bestFit="1" customWidth="1"/>
    <col min="781" max="799" width="0" style="417" hidden="1" customWidth="1"/>
    <col min="800" max="1023" width="9.140625" style="417"/>
    <col min="1024" max="1024" width="5.5703125" style="417" bestFit="1" customWidth="1"/>
    <col min="1025" max="1025" width="12.42578125" style="417" customWidth="1"/>
    <col min="1026" max="1026" width="15.85546875" style="417" customWidth="1"/>
    <col min="1027" max="1027" width="0" style="417" hidden="1" customWidth="1"/>
    <col min="1028" max="1028" width="13.28515625" style="417" customWidth="1"/>
    <col min="1029" max="1029" width="15.140625" style="417" customWidth="1"/>
    <col min="1030" max="1030" width="13" style="417" customWidth="1"/>
    <col min="1031" max="1031" width="0" style="417" hidden="1" customWidth="1"/>
    <col min="1032" max="1032" width="13" style="417" customWidth="1"/>
    <col min="1033" max="1033" width="15.42578125" style="417" customWidth="1"/>
    <col min="1034" max="1034" width="15.85546875" style="417" customWidth="1"/>
    <col min="1035" max="1035" width="0" style="417" hidden="1" customWidth="1"/>
    <col min="1036" max="1036" width="16" style="417" bestFit="1" customWidth="1"/>
    <col min="1037" max="1055" width="0" style="417" hidden="1" customWidth="1"/>
    <col min="1056" max="1279" width="9.140625" style="417"/>
    <col min="1280" max="1280" width="5.5703125" style="417" bestFit="1" customWidth="1"/>
    <col min="1281" max="1281" width="12.42578125" style="417" customWidth="1"/>
    <col min="1282" max="1282" width="15.85546875" style="417" customWidth="1"/>
    <col min="1283" max="1283" width="0" style="417" hidden="1" customWidth="1"/>
    <col min="1284" max="1284" width="13.28515625" style="417" customWidth="1"/>
    <col min="1285" max="1285" width="15.140625" style="417" customWidth="1"/>
    <col min="1286" max="1286" width="13" style="417" customWidth="1"/>
    <col min="1287" max="1287" width="0" style="417" hidden="1" customWidth="1"/>
    <col min="1288" max="1288" width="13" style="417" customWidth="1"/>
    <col min="1289" max="1289" width="15.42578125" style="417" customWidth="1"/>
    <col min="1290" max="1290" width="15.85546875" style="417" customWidth="1"/>
    <col min="1291" max="1291" width="0" style="417" hidden="1" customWidth="1"/>
    <col min="1292" max="1292" width="16" style="417" bestFit="1" customWidth="1"/>
    <col min="1293" max="1311" width="0" style="417" hidden="1" customWidth="1"/>
    <col min="1312" max="1535" width="9.140625" style="417"/>
    <col min="1536" max="1536" width="5.5703125" style="417" bestFit="1" customWidth="1"/>
    <col min="1537" max="1537" width="12.42578125" style="417" customWidth="1"/>
    <col min="1538" max="1538" width="15.85546875" style="417" customWidth="1"/>
    <col min="1539" max="1539" width="0" style="417" hidden="1" customWidth="1"/>
    <col min="1540" max="1540" width="13.28515625" style="417" customWidth="1"/>
    <col min="1541" max="1541" width="15.140625" style="417" customWidth="1"/>
    <col min="1542" max="1542" width="13" style="417" customWidth="1"/>
    <col min="1543" max="1543" width="0" style="417" hidden="1" customWidth="1"/>
    <col min="1544" max="1544" width="13" style="417" customWidth="1"/>
    <col min="1545" max="1545" width="15.42578125" style="417" customWidth="1"/>
    <col min="1546" max="1546" width="15.85546875" style="417" customWidth="1"/>
    <col min="1547" max="1547" width="0" style="417" hidden="1" customWidth="1"/>
    <col min="1548" max="1548" width="16" style="417" bestFit="1" customWidth="1"/>
    <col min="1549" max="1567" width="0" style="417" hidden="1" customWidth="1"/>
    <col min="1568" max="1791" width="9.140625" style="417"/>
    <col min="1792" max="1792" width="5.5703125" style="417" bestFit="1" customWidth="1"/>
    <col min="1793" max="1793" width="12.42578125" style="417" customWidth="1"/>
    <col min="1794" max="1794" width="15.85546875" style="417" customWidth="1"/>
    <col min="1795" max="1795" width="0" style="417" hidden="1" customWidth="1"/>
    <col min="1796" max="1796" width="13.28515625" style="417" customWidth="1"/>
    <col min="1797" max="1797" width="15.140625" style="417" customWidth="1"/>
    <col min="1798" max="1798" width="13" style="417" customWidth="1"/>
    <col min="1799" max="1799" width="0" style="417" hidden="1" customWidth="1"/>
    <col min="1800" max="1800" width="13" style="417" customWidth="1"/>
    <col min="1801" max="1801" width="15.42578125" style="417" customWidth="1"/>
    <col min="1802" max="1802" width="15.85546875" style="417" customWidth="1"/>
    <col min="1803" max="1803" width="0" style="417" hidden="1" customWidth="1"/>
    <col min="1804" max="1804" width="16" style="417" bestFit="1" customWidth="1"/>
    <col min="1805" max="1823" width="0" style="417" hidden="1" customWidth="1"/>
    <col min="1824" max="2047" width="9.140625" style="417"/>
    <col min="2048" max="2048" width="5.5703125" style="417" bestFit="1" customWidth="1"/>
    <col min="2049" max="2049" width="12.42578125" style="417" customWidth="1"/>
    <col min="2050" max="2050" width="15.85546875" style="417" customWidth="1"/>
    <col min="2051" max="2051" width="0" style="417" hidden="1" customWidth="1"/>
    <col min="2052" max="2052" width="13.28515625" style="417" customWidth="1"/>
    <col min="2053" max="2053" width="15.140625" style="417" customWidth="1"/>
    <col min="2054" max="2054" width="13" style="417" customWidth="1"/>
    <col min="2055" max="2055" width="0" style="417" hidden="1" customWidth="1"/>
    <col min="2056" max="2056" width="13" style="417" customWidth="1"/>
    <col min="2057" max="2057" width="15.42578125" style="417" customWidth="1"/>
    <col min="2058" max="2058" width="15.85546875" style="417" customWidth="1"/>
    <col min="2059" max="2059" width="0" style="417" hidden="1" customWidth="1"/>
    <col min="2060" max="2060" width="16" style="417" bestFit="1" customWidth="1"/>
    <col min="2061" max="2079" width="0" style="417" hidden="1" customWidth="1"/>
    <col min="2080" max="2303" width="9.140625" style="417"/>
    <col min="2304" max="2304" width="5.5703125" style="417" bestFit="1" customWidth="1"/>
    <col min="2305" max="2305" width="12.42578125" style="417" customWidth="1"/>
    <col min="2306" max="2306" width="15.85546875" style="417" customWidth="1"/>
    <col min="2307" max="2307" width="0" style="417" hidden="1" customWidth="1"/>
    <col min="2308" max="2308" width="13.28515625" style="417" customWidth="1"/>
    <col min="2309" max="2309" width="15.140625" style="417" customWidth="1"/>
    <col min="2310" max="2310" width="13" style="417" customWidth="1"/>
    <col min="2311" max="2311" width="0" style="417" hidden="1" customWidth="1"/>
    <col min="2312" max="2312" width="13" style="417" customWidth="1"/>
    <col min="2313" max="2313" width="15.42578125" style="417" customWidth="1"/>
    <col min="2314" max="2314" width="15.85546875" style="417" customWidth="1"/>
    <col min="2315" max="2315" width="0" style="417" hidden="1" customWidth="1"/>
    <col min="2316" max="2316" width="16" style="417" bestFit="1" customWidth="1"/>
    <col min="2317" max="2335" width="0" style="417" hidden="1" customWidth="1"/>
    <col min="2336" max="2559" width="9.140625" style="417"/>
    <col min="2560" max="2560" width="5.5703125" style="417" bestFit="1" customWidth="1"/>
    <col min="2561" max="2561" width="12.42578125" style="417" customWidth="1"/>
    <col min="2562" max="2562" width="15.85546875" style="417" customWidth="1"/>
    <col min="2563" max="2563" width="0" style="417" hidden="1" customWidth="1"/>
    <col min="2564" max="2564" width="13.28515625" style="417" customWidth="1"/>
    <col min="2565" max="2565" width="15.140625" style="417" customWidth="1"/>
    <col min="2566" max="2566" width="13" style="417" customWidth="1"/>
    <col min="2567" max="2567" width="0" style="417" hidden="1" customWidth="1"/>
    <col min="2568" max="2568" width="13" style="417" customWidth="1"/>
    <col min="2569" max="2569" width="15.42578125" style="417" customWidth="1"/>
    <col min="2570" max="2570" width="15.85546875" style="417" customWidth="1"/>
    <col min="2571" max="2571" width="0" style="417" hidden="1" customWidth="1"/>
    <col min="2572" max="2572" width="16" style="417" bestFit="1" customWidth="1"/>
    <col min="2573" max="2591" width="0" style="417" hidden="1" customWidth="1"/>
    <col min="2592" max="2815" width="9.140625" style="417"/>
    <col min="2816" max="2816" width="5.5703125" style="417" bestFit="1" customWidth="1"/>
    <col min="2817" max="2817" width="12.42578125" style="417" customWidth="1"/>
    <col min="2818" max="2818" width="15.85546875" style="417" customWidth="1"/>
    <col min="2819" max="2819" width="0" style="417" hidden="1" customWidth="1"/>
    <col min="2820" max="2820" width="13.28515625" style="417" customWidth="1"/>
    <col min="2821" max="2821" width="15.140625" style="417" customWidth="1"/>
    <col min="2822" max="2822" width="13" style="417" customWidth="1"/>
    <col min="2823" max="2823" width="0" style="417" hidden="1" customWidth="1"/>
    <col min="2824" max="2824" width="13" style="417" customWidth="1"/>
    <col min="2825" max="2825" width="15.42578125" style="417" customWidth="1"/>
    <col min="2826" max="2826" width="15.85546875" style="417" customWidth="1"/>
    <col min="2827" max="2827" width="0" style="417" hidden="1" customWidth="1"/>
    <col min="2828" max="2828" width="16" style="417" bestFit="1" customWidth="1"/>
    <col min="2829" max="2847" width="0" style="417" hidden="1" customWidth="1"/>
    <col min="2848" max="3071" width="9.140625" style="417"/>
    <col min="3072" max="3072" width="5.5703125" style="417" bestFit="1" customWidth="1"/>
    <col min="3073" max="3073" width="12.42578125" style="417" customWidth="1"/>
    <col min="3074" max="3074" width="15.85546875" style="417" customWidth="1"/>
    <col min="3075" max="3075" width="0" style="417" hidden="1" customWidth="1"/>
    <col min="3076" max="3076" width="13.28515625" style="417" customWidth="1"/>
    <col min="3077" max="3077" width="15.140625" style="417" customWidth="1"/>
    <col min="3078" max="3078" width="13" style="417" customWidth="1"/>
    <col min="3079" max="3079" width="0" style="417" hidden="1" customWidth="1"/>
    <col min="3080" max="3080" width="13" style="417" customWidth="1"/>
    <col min="3081" max="3081" width="15.42578125" style="417" customWidth="1"/>
    <col min="3082" max="3082" width="15.85546875" style="417" customWidth="1"/>
    <col min="3083" max="3083" width="0" style="417" hidden="1" customWidth="1"/>
    <col min="3084" max="3084" width="16" style="417" bestFit="1" customWidth="1"/>
    <col min="3085" max="3103" width="0" style="417" hidden="1" customWidth="1"/>
    <col min="3104" max="3327" width="9.140625" style="417"/>
    <col min="3328" max="3328" width="5.5703125" style="417" bestFit="1" customWidth="1"/>
    <col min="3329" max="3329" width="12.42578125" style="417" customWidth="1"/>
    <col min="3330" max="3330" width="15.85546875" style="417" customWidth="1"/>
    <col min="3331" max="3331" width="0" style="417" hidden="1" customWidth="1"/>
    <col min="3332" max="3332" width="13.28515625" style="417" customWidth="1"/>
    <col min="3333" max="3333" width="15.140625" style="417" customWidth="1"/>
    <col min="3334" max="3334" width="13" style="417" customWidth="1"/>
    <col min="3335" max="3335" width="0" style="417" hidden="1" customWidth="1"/>
    <col min="3336" max="3336" width="13" style="417" customWidth="1"/>
    <col min="3337" max="3337" width="15.42578125" style="417" customWidth="1"/>
    <col min="3338" max="3338" width="15.85546875" style="417" customWidth="1"/>
    <col min="3339" max="3339" width="0" style="417" hidden="1" customWidth="1"/>
    <col min="3340" max="3340" width="16" style="417" bestFit="1" customWidth="1"/>
    <col min="3341" max="3359" width="0" style="417" hidden="1" customWidth="1"/>
    <col min="3360" max="3583" width="9.140625" style="417"/>
    <col min="3584" max="3584" width="5.5703125" style="417" bestFit="1" customWidth="1"/>
    <col min="3585" max="3585" width="12.42578125" style="417" customWidth="1"/>
    <col min="3586" max="3586" width="15.85546875" style="417" customWidth="1"/>
    <col min="3587" max="3587" width="0" style="417" hidden="1" customWidth="1"/>
    <col min="3588" max="3588" width="13.28515625" style="417" customWidth="1"/>
    <col min="3589" max="3589" width="15.140625" style="417" customWidth="1"/>
    <col min="3590" max="3590" width="13" style="417" customWidth="1"/>
    <col min="3591" max="3591" width="0" style="417" hidden="1" customWidth="1"/>
    <col min="3592" max="3592" width="13" style="417" customWidth="1"/>
    <col min="3593" max="3593" width="15.42578125" style="417" customWidth="1"/>
    <col min="3594" max="3594" width="15.85546875" style="417" customWidth="1"/>
    <col min="3595" max="3595" width="0" style="417" hidden="1" customWidth="1"/>
    <col min="3596" max="3596" width="16" style="417" bestFit="1" customWidth="1"/>
    <col min="3597" max="3615" width="0" style="417" hidden="1" customWidth="1"/>
    <col min="3616" max="3839" width="9.140625" style="417"/>
    <col min="3840" max="3840" width="5.5703125" style="417" bestFit="1" customWidth="1"/>
    <col min="3841" max="3841" width="12.42578125" style="417" customWidth="1"/>
    <col min="3842" max="3842" width="15.85546875" style="417" customWidth="1"/>
    <col min="3843" max="3843" width="0" style="417" hidden="1" customWidth="1"/>
    <col min="3844" max="3844" width="13.28515625" style="417" customWidth="1"/>
    <col min="3845" max="3845" width="15.140625" style="417" customWidth="1"/>
    <col min="3846" max="3846" width="13" style="417" customWidth="1"/>
    <col min="3847" max="3847" width="0" style="417" hidden="1" customWidth="1"/>
    <col min="3848" max="3848" width="13" style="417" customWidth="1"/>
    <col min="3849" max="3849" width="15.42578125" style="417" customWidth="1"/>
    <col min="3850" max="3850" width="15.85546875" style="417" customWidth="1"/>
    <col min="3851" max="3851" width="0" style="417" hidden="1" customWidth="1"/>
    <col min="3852" max="3852" width="16" style="417" bestFit="1" customWidth="1"/>
    <col min="3853" max="3871" width="0" style="417" hidden="1" customWidth="1"/>
    <col min="3872" max="4095" width="9.140625" style="417"/>
    <col min="4096" max="4096" width="5.5703125" style="417" bestFit="1" customWidth="1"/>
    <col min="4097" max="4097" width="12.42578125" style="417" customWidth="1"/>
    <col min="4098" max="4098" width="15.85546875" style="417" customWidth="1"/>
    <col min="4099" max="4099" width="0" style="417" hidden="1" customWidth="1"/>
    <col min="4100" max="4100" width="13.28515625" style="417" customWidth="1"/>
    <col min="4101" max="4101" width="15.140625" style="417" customWidth="1"/>
    <col min="4102" max="4102" width="13" style="417" customWidth="1"/>
    <col min="4103" max="4103" width="0" style="417" hidden="1" customWidth="1"/>
    <col min="4104" max="4104" width="13" style="417" customWidth="1"/>
    <col min="4105" max="4105" width="15.42578125" style="417" customWidth="1"/>
    <col min="4106" max="4106" width="15.85546875" style="417" customWidth="1"/>
    <col min="4107" max="4107" width="0" style="417" hidden="1" customWidth="1"/>
    <col min="4108" max="4108" width="16" style="417" bestFit="1" customWidth="1"/>
    <col min="4109" max="4127" width="0" style="417" hidden="1" customWidth="1"/>
    <col min="4128" max="4351" width="9.140625" style="417"/>
    <col min="4352" max="4352" width="5.5703125" style="417" bestFit="1" customWidth="1"/>
    <col min="4353" max="4353" width="12.42578125" style="417" customWidth="1"/>
    <col min="4354" max="4354" width="15.85546875" style="417" customWidth="1"/>
    <col min="4355" max="4355" width="0" style="417" hidden="1" customWidth="1"/>
    <col min="4356" max="4356" width="13.28515625" style="417" customWidth="1"/>
    <col min="4357" max="4357" width="15.140625" style="417" customWidth="1"/>
    <col min="4358" max="4358" width="13" style="417" customWidth="1"/>
    <col min="4359" max="4359" width="0" style="417" hidden="1" customWidth="1"/>
    <col min="4360" max="4360" width="13" style="417" customWidth="1"/>
    <col min="4361" max="4361" width="15.42578125" style="417" customWidth="1"/>
    <col min="4362" max="4362" width="15.85546875" style="417" customWidth="1"/>
    <col min="4363" max="4363" width="0" style="417" hidden="1" customWidth="1"/>
    <col min="4364" max="4364" width="16" style="417" bestFit="1" customWidth="1"/>
    <col min="4365" max="4383" width="0" style="417" hidden="1" customWidth="1"/>
    <col min="4384" max="4607" width="9.140625" style="417"/>
    <col min="4608" max="4608" width="5.5703125" style="417" bestFit="1" customWidth="1"/>
    <col min="4609" max="4609" width="12.42578125" style="417" customWidth="1"/>
    <col min="4610" max="4610" width="15.85546875" style="417" customWidth="1"/>
    <col min="4611" max="4611" width="0" style="417" hidden="1" customWidth="1"/>
    <col min="4612" max="4612" width="13.28515625" style="417" customWidth="1"/>
    <col min="4613" max="4613" width="15.140625" style="417" customWidth="1"/>
    <col min="4614" max="4614" width="13" style="417" customWidth="1"/>
    <col min="4615" max="4615" width="0" style="417" hidden="1" customWidth="1"/>
    <col min="4616" max="4616" width="13" style="417" customWidth="1"/>
    <col min="4617" max="4617" width="15.42578125" style="417" customWidth="1"/>
    <col min="4618" max="4618" width="15.85546875" style="417" customWidth="1"/>
    <col min="4619" max="4619" width="0" style="417" hidden="1" customWidth="1"/>
    <col min="4620" max="4620" width="16" style="417" bestFit="1" customWidth="1"/>
    <col min="4621" max="4639" width="0" style="417" hidden="1" customWidth="1"/>
    <col min="4640" max="4863" width="9.140625" style="417"/>
    <col min="4864" max="4864" width="5.5703125" style="417" bestFit="1" customWidth="1"/>
    <col min="4865" max="4865" width="12.42578125" style="417" customWidth="1"/>
    <col min="4866" max="4866" width="15.85546875" style="417" customWidth="1"/>
    <col min="4867" max="4867" width="0" style="417" hidden="1" customWidth="1"/>
    <col min="4868" max="4868" width="13.28515625" style="417" customWidth="1"/>
    <col min="4869" max="4869" width="15.140625" style="417" customWidth="1"/>
    <col min="4870" max="4870" width="13" style="417" customWidth="1"/>
    <col min="4871" max="4871" width="0" style="417" hidden="1" customWidth="1"/>
    <col min="4872" max="4872" width="13" style="417" customWidth="1"/>
    <col min="4873" max="4873" width="15.42578125" style="417" customWidth="1"/>
    <col min="4874" max="4874" width="15.85546875" style="417" customWidth="1"/>
    <col min="4875" max="4875" width="0" style="417" hidden="1" customWidth="1"/>
    <col min="4876" max="4876" width="16" style="417" bestFit="1" customWidth="1"/>
    <col min="4877" max="4895" width="0" style="417" hidden="1" customWidth="1"/>
    <col min="4896" max="5119" width="9.140625" style="417"/>
    <col min="5120" max="5120" width="5.5703125" style="417" bestFit="1" customWidth="1"/>
    <col min="5121" max="5121" width="12.42578125" style="417" customWidth="1"/>
    <col min="5122" max="5122" width="15.85546875" style="417" customWidth="1"/>
    <col min="5123" max="5123" width="0" style="417" hidden="1" customWidth="1"/>
    <col min="5124" max="5124" width="13.28515625" style="417" customWidth="1"/>
    <col min="5125" max="5125" width="15.140625" style="417" customWidth="1"/>
    <col min="5126" max="5126" width="13" style="417" customWidth="1"/>
    <col min="5127" max="5127" width="0" style="417" hidden="1" customWidth="1"/>
    <col min="5128" max="5128" width="13" style="417" customWidth="1"/>
    <col min="5129" max="5129" width="15.42578125" style="417" customWidth="1"/>
    <col min="5130" max="5130" width="15.85546875" style="417" customWidth="1"/>
    <col min="5131" max="5131" width="0" style="417" hidden="1" customWidth="1"/>
    <col min="5132" max="5132" width="16" style="417" bestFit="1" customWidth="1"/>
    <col min="5133" max="5151" width="0" style="417" hidden="1" customWidth="1"/>
    <col min="5152" max="5375" width="9.140625" style="417"/>
    <col min="5376" max="5376" width="5.5703125" style="417" bestFit="1" customWidth="1"/>
    <col min="5377" max="5377" width="12.42578125" style="417" customWidth="1"/>
    <col min="5378" max="5378" width="15.85546875" style="417" customWidth="1"/>
    <col min="5379" max="5379" width="0" style="417" hidden="1" customWidth="1"/>
    <col min="5380" max="5380" width="13.28515625" style="417" customWidth="1"/>
    <col min="5381" max="5381" width="15.140625" style="417" customWidth="1"/>
    <col min="5382" max="5382" width="13" style="417" customWidth="1"/>
    <col min="5383" max="5383" width="0" style="417" hidden="1" customWidth="1"/>
    <col min="5384" max="5384" width="13" style="417" customWidth="1"/>
    <col min="5385" max="5385" width="15.42578125" style="417" customWidth="1"/>
    <col min="5386" max="5386" width="15.85546875" style="417" customWidth="1"/>
    <col min="5387" max="5387" width="0" style="417" hidden="1" customWidth="1"/>
    <col min="5388" max="5388" width="16" style="417" bestFit="1" customWidth="1"/>
    <col min="5389" max="5407" width="0" style="417" hidden="1" customWidth="1"/>
    <col min="5408" max="5631" width="9.140625" style="417"/>
    <col min="5632" max="5632" width="5.5703125" style="417" bestFit="1" customWidth="1"/>
    <col min="5633" max="5633" width="12.42578125" style="417" customWidth="1"/>
    <col min="5634" max="5634" width="15.85546875" style="417" customWidth="1"/>
    <col min="5635" max="5635" width="0" style="417" hidden="1" customWidth="1"/>
    <col min="5636" max="5636" width="13.28515625" style="417" customWidth="1"/>
    <col min="5637" max="5637" width="15.140625" style="417" customWidth="1"/>
    <col min="5638" max="5638" width="13" style="417" customWidth="1"/>
    <col min="5639" max="5639" width="0" style="417" hidden="1" customWidth="1"/>
    <col min="5640" max="5640" width="13" style="417" customWidth="1"/>
    <col min="5641" max="5641" width="15.42578125" style="417" customWidth="1"/>
    <col min="5642" max="5642" width="15.85546875" style="417" customWidth="1"/>
    <col min="5643" max="5643" width="0" style="417" hidden="1" customWidth="1"/>
    <col min="5644" max="5644" width="16" style="417" bestFit="1" customWidth="1"/>
    <col min="5645" max="5663" width="0" style="417" hidden="1" customWidth="1"/>
    <col min="5664" max="5887" width="9.140625" style="417"/>
    <col min="5888" max="5888" width="5.5703125" style="417" bestFit="1" customWidth="1"/>
    <col min="5889" max="5889" width="12.42578125" style="417" customWidth="1"/>
    <col min="5890" max="5890" width="15.85546875" style="417" customWidth="1"/>
    <col min="5891" max="5891" width="0" style="417" hidden="1" customWidth="1"/>
    <col min="5892" max="5892" width="13.28515625" style="417" customWidth="1"/>
    <col min="5893" max="5893" width="15.140625" style="417" customWidth="1"/>
    <col min="5894" max="5894" width="13" style="417" customWidth="1"/>
    <col min="5895" max="5895" width="0" style="417" hidden="1" customWidth="1"/>
    <col min="5896" max="5896" width="13" style="417" customWidth="1"/>
    <col min="5897" max="5897" width="15.42578125" style="417" customWidth="1"/>
    <col min="5898" max="5898" width="15.85546875" style="417" customWidth="1"/>
    <col min="5899" max="5899" width="0" style="417" hidden="1" customWidth="1"/>
    <col min="5900" max="5900" width="16" style="417" bestFit="1" customWidth="1"/>
    <col min="5901" max="5919" width="0" style="417" hidden="1" customWidth="1"/>
    <col min="5920" max="6143" width="9.140625" style="417"/>
    <col min="6144" max="6144" width="5.5703125" style="417" bestFit="1" customWidth="1"/>
    <col min="6145" max="6145" width="12.42578125" style="417" customWidth="1"/>
    <col min="6146" max="6146" width="15.85546875" style="417" customWidth="1"/>
    <col min="6147" max="6147" width="0" style="417" hidden="1" customWidth="1"/>
    <col min="6148" max="6148" width="13.28515625" style="417" customWidth="1"/>
    <col min="6149" max="6149" width="15.140625" style="417" customWidth="1"/>
    <col min="6150" max="6150" width="13" style="417" customWidth="1"/>
    <col min="6151" max="6151" width="0" style="417" hidden="1" customWidth="1"/>
    <col min="6152" max="6152" width="13" style="417" customWidth="1"/>
    <col min="6153" max="6153" width="15.42578125" style="417" customWidth="1"/>
    <col min="6154" max="6154" width="15.85546875" style="417" customWidth="1"/>
    <col min="6155" max="6155" width="0" style="417" hidden="1" customWidth="1"/>
    <col min="6156" max="6156" width="16" style="417" bestFit="1" customWidth="1"/>
    <col min="6157" max="6175" width="0" style="417" hidden="1" customWidth="1"/>
    <col min="6176" max="6399" width="9.140625" style="417"/>
    <col min="6400" max="6400" width="5.5703125" style="417" bestFit="1" customWidth="1"/>
    <col min="6401" max="6401" width="12.42578125" style="417" customWidth="1"/>
    <col min="6402" max="6402" width="15.85546875" style="417" customWidth="1"/>
    <col min="6403" max="6403" width="0" style="417" hidden="1" customWidth="1"/>
    <col min="6404" max="6404" width="13.28515625" style="417" customWidth="1"/>
    <col min="6405" max="6405" width="15.140625" style="417" customWidth="1"/>
    <col min="6406" max="6406" width="13" style="417" customWidth="1"/>
    <col min="6407" max="6407" width="0" style="417" hidden="1" customWidth="1"/>
    <col min="6408" max="6408" width="13" style="417" customWidth="1"/>
    <col min="6409" max="6409" width="15.42578125" style="417" customWidth="1"/>
    <col min="6410" max="6410" width="15.85546875" style="417" customWidth="1"/>
    <col min="6411" max="6411" width="0" style="417" hidden="1" customWidth="1"/>
    <col min="6412" max="6412" width="16" style="417" bestFit="1" customWidth="1"/>
    <col min="6413" max="6431" width="0" style="417" hidden="1" customWidth="1"/>
    <col min="6432" max="6655" width="9.140625" style="417"/>
    <col min="6656" max="6656" width="5.5703125" style="417" bestFit="1" customWidth="1"/>
    <col min="6657" max="6657" width="12.42578125" style="417" customWidth="1"/>
    <col min="6658" max="6658" width="15.85546875" style="417" customWidth="1"/>
    <col min="6659" max="6659" width="0" style="417" hidden="1" customWidth="1"/>
    <col min="6660" max="6660" width="13.28515625" style="417" customWidth="1"/>
    <col min="6661" max="6661" width="15.140625" style="417" customWidth="1"/>
    <col min="6662" max="6662" width="13" style="417" customWidth="1"/>
    <col min="6663" max="6663" width="0" style="417" hidden="1" customWidth="1"/>
    <col min="6664" max="6664" width="13" style="417" customWidth="1"/>
    <col min="6665" max="6665" width="15.42578125" style="417" customWidth="1"/>
    <col min="6666" max="6666" width="15.85546875" style="417" customWidth="1"/>
    <col min="6667" max="6667" width="0" style="417" hidden="1" customWidth="1"/>
    <col min="6668" max="6668" width="16" style="417" bestFit="1" customWidth="1"/>
    <col min="6669" max="6687" width="0" style="417" hidden="1" customWidth="1"/>
    <col min="6688" max="6911" width="9.140625" style="417"/>
    <col min="6912" max="6912" width="5.5703125" style="417" bestFit="1" customWidth="1"/>
    <col min="6913" max="6913" width="12.42578125" style="417" customWidth="1"/>
    <col min="6914" max="6914" width="15.85546875" style="417" customWidth="1"/>
    <col min="6915" max="6915" width="0" style="417" hidden="1" customWidth="1"/>
    <col min="6916" max="6916" width="13.28515625" style="417" customWidth="1"/>
    <col min="6917" max="6917" width="15.140625" style="417" customWidth="1"/>
    <col min="6918" max="6918" width="13" style="417" customWidth="1"/>
    <col min="6919" max="6919" width="0" style="417" hidden="1" customWidth="1"/>
    <col min="6920" max="6920" width="13" style="417" customWidth="1"/>
    <col min="6921" max="6921" width="15.42578125" style="417" customWidth="1"/>
    <col min="6922" max="6922" width="15.85546875" style="417" customWidth="1"/>
    <col min="6923" max="6923" width="0" style="417" hidden="1" customWidth="1"/>
    <col min="6924" max="6924" width="16" style="417" bestFit="1" customWidth="1"/>
    <col min="6925" max="6943" width="0" style="417" hidden="1" customWidth="1"/>
    <col min="6944" max="7167" width="9.140625" style="417"/>
    <col min="7168" max="7168" width="5.5703125" style="417" bestFit="1" customWidth="1"/>
    <col min="7169" max="7169" width="12.42578125" style="417" customWidth="1"/>
    <col min="7170" max="7170" width="15.85546875" style="417" customWidth="1"/>
    <col min="7171" max="7171" width="0" style="417" hidden="1" customWidth="1"/>
    <col min="7172" max="7172" width="13.28515625" style="417" customWidth="1"/>
    <col min="7173" max="7173" width="15.140625" style="417" customWidth="1"/>
    <col min="7174" max="7174" width="13" style="417" customWidth="1"/>
    <col min="7175" max="7175" width="0" style="417" hidden="1" customWidth="1"/>
    <col min="7176" max="7176" width="13" style="417" customWidth="1"/>
    <col min="7177" max="7177" width="15.42578125" style="417" customWidth="1"/>
    <col min="7178" max="7178" width="15.85546875" style="417" customWidth="1"/>
    <col min="7179" max="7179" width="0" style="417" hidden="1" customWidth="1"/>
    <col min="7180" max="7180" width="16" style="417" bestFit="1" customWidth="1"/>
    <col min="7181" max="7199" width="0" style="417" hidden="1" customWidth="1"/>
    <col min="7200" max="7423" width="9.140625" style="417"/>
    <col min="7424" max="7424" width="5.5703125" style="417" bestFit="1" customWidth="1"/>
    <col min="7425" max="7425" width="12.42578125" style="417" customWidth="1"/>
    <col min="7426" max="7426" width="15.85546875" style="417" customWidth="1"/>
    <col min="7427" max="7427" width="0" style="417" hidden="1" customWidth="1"/>
    <col min="7428" max="7428" width="13.28515625" style="417" customWidth="1"/>
    <col min="7429" max="7429" width="15.140625" style="417" customWidth="1"/>
    <col min="7430" max="7430" width="13" style="417" customWidth="1"/>
    <col min="7431" max="7431" width="0" style="417" hidden="1" customWidth="1"/>
    <col min="7432" max="7432" width="13" style="417" customWidth="1"/>
    <col min="7433" max="7433" width="15.42578125" style="417" customWidth="1"/>
    <col min="7434" max="7434" width="15.85546875" style="417" customWidth="1"/>
    <col min="7435" max="7435" width="0" style="417" hidden="1" customWidth="1"/>
    <col min="7436" max="7436" width="16" style="417" bestFit="1" customWidth="1"/>
    <col min="7437" max="7455" width="0" style="417" hidden="1" customWidth="1"/>
    <col min="7456" max="7679" width="9.140625" style="417"/>
    <col min="7680" max="7680" width="5.5703125" style="417" bestFit="1" customWidth="1"/>
    <col min="7681" max="7681" width="12.42578125" style="417" customWidth="1"/>
    <col min="7682" max="7682" width="15.85546875" style="417" customWidth="1"/>
    <col min="7683" max="7683" width="0" style="417" hidden="1" customWidth="1"/>
    <col min="7684" max="7684" width="13.28515625" style="417" customWidth="1"/>
    <col min="7685" max="7685" width="15.140625" style="417" customWidth="1"/>
    <col min="7686" max="7686" width="13" style="417" customWidth="1"/>
    <col min="7687" max="7687" width="0" style="417" hidden="1" customWidth="1"/>
    <col min="7688" max="7688" width="13" style="417" customWidth="1"/>
    <col min="7689" max="7689" width="15.42578125" style="417" customWidth="1"/>
    <col min="7690" max="7690" width="15.85546875" style="417" customWidth="1"/>
    <col min="7691" max="7691" width="0" style="417" hidden="1" customWidth="1"/>
    <col min="7692" max="7692" width="16" style="417" bestFit="1" customWidth="1"/>
    <col min="7693" max="7711" width="0" style="417" hidden="1" customWidth="1"/>
    <col min="7712" max="7935" width="9.140625" style="417"/>
    <col min="7936" max="7936" width="5.5703125" style="417" bestFit="1" customWidth="1"/>
    <col min="7937" max="7937" width="12.42578125" style="417" customWidth="1"/>
    <col min="7938" max="7938" width="15.85546875" style="417" customWidth="1"/>
    <col min="7939" max="7939" width="0" style="417" hidden="1" customWidth="1"/>
    <col min="7940" max="7940" width="13.28515625" style="417" customWidth="1"/>
    <col min="7941" max="7941" width="15.140625" style="417" customWidth="1"/>
    <col min="7942" max="7942" width="13" style="417" customWidth="1"/>
    <col min="7943" max="7943" width="0" style="417" hidden="1" customWidth="1"/>
    <col min="7944" max="7944" width="13" style="417" customWidth="1"/>
    <col min="7945" max="7945" width="15.42578125" style="417" customWidth="1"/>
    <col min="7946" max="7946" width="15.85546875" style="417" customWidth="1"/>
    <col min="7947" max="7947" width="0" style="417" hidden="1" customWidth="1"/>
    <col min="7948" max="7948" width="16" style="417" bestFit="1" customWidth="1"/>
    <col min="7949" max="7967" width="0" style="417" hidden="1" customWidth="1"/>
    <col min="7968" max="8191" width="9.140625" style="417"/>
    <col min="8192" max="8192" width="5.5703125" style="417" bestFit="1" customWidth="1"/>
    <col min="8193" max="8193" width="12.42578125" style="417" customWidth="1"/>
    <col min="8194" max="8194" width="15.85546875" style="417" customWidth="1"/>
    <col min="8195" max="8195" width="0" style="417" hidden="1" customWidth="1"/>
    <col min="8196" max="8196" width="13.28515625" style="417" customWidth="1"/>
    <col min="8197" max="8197" width="15.140625" style="417" customWidth="1"/>
    <col min="8198" max="8198" width="13" style="417" customWidth="1"/>
    <col min="8199" max="8199" width="0" style="417" hidden="1" customWidth="1"/>
    <col min="8200" max="8200" width="13" style="417" customWidth="1"/>
    <col min="8201" max="8201" width="15.42578125" style="417" customWidth="1"/>
    <col min="8202" max="8202" width="15.85546875" style="417" customWidth="1"/>
    <col min="8203" max="8203" width="0" style="417" hidden="1" customWidth="1"/>
    <col min="8204" max="8204" width="16" style="417" bestFit="1" customWidth="1"/>
    <col min="8205" max="8223" width="0" style="417" hidden="1" customWidth="1"/>
    <col min="8224" max="8447" width="9.140625" style="417"/>
    <col min="8448" max="8448" width="5.5703125" style="417" bestFit="1" customWidth="1"/>
    <col min="8449" max="8449" width="12.42578125" style="417" customWidth="1"/>
    <col min="8450" max="8450" width="15.85546875" style="417" customWidth="1"/>
    <col min="8451" max="8451" width="0" style="417" hidden="1" customWidth="1"/>
    <col min="8452" max="8452" width="13.28515625" style="417" customWidth="1"/>
    <col min="8453" max="8453" width="15.140625" style="417" customWidth="1"/>
    <col min="8454" max="8454" width="13" style="417" customWidth="1"/>
    <col min="8455" max="8455" width="0" style="417" hidden="1" customWidth="1"/>
    <col min="8456" max="8456" width="13" style="417" customWidth="1"/>
    <col min="8457" max="8457" width="15.42578125" style="417" customWidth="1"/>
    <col min="8458" max="8458" width="15.85546875" style="417" customWidth="1"/>
    <col min="8459" max="8459" width="0" style="417" hidden="1" customWidth="1"/>
    <col min="8460" max="8460" width="16" style="417" bestFit="1" customWidth="1"/>
    <col min="8461" max="8479" width="0" style="417" hidden="1" customWidth="1"/>
    <col min="8480" max="8703" width="9.140625" style="417"/>
    <col min="8704" max="8704" width="5.5703125" style="417" bestFit="1" customWidth="1"/>
    <col min="8705" max="8705" width="12.42578125" style="417" customWidth="1"/>
    <col min="8706" max="8706" width="15.85546875" style="417" customWidth="1"/>
    <col min="8707" max="8707" width="0" style="417" hidden="1" customWidth="1"/>
    <col min="8708" max="8708" width="13.28515625" style="417" customWidth="1"/>
    <col min="8709" max="8709" width="15.140625" style="417" customWidth="1"/>
    <col min="8710" max="8710" width="13" style="417" customWidth="1"/>
    <col min="8711" max="8711" width="0" style="417" hidden="1" customWidth="1"/>
    <col min="8712" max="8712" width="13" style="417" customWidth="1"/>
    <col min="8713" max="8713" width="15.42578125" style="417" customWidth="1"/>
    <col min="8714" max="8714" width="15.85546875" style="417" customWidth="1"/>
    <col min="8715" max="8715" width="0" style="417" hidden="1" customWidth="1"/>
    <col min="8716" max="8716" width="16" style="417" bestFit="1" customWidth="1"/>
    <col min="8717" max="8735" width="0" style="417" hidden="1" customWidth="1"/>
    <col min="8736" max="8959" width="9.140625" style="417"/>
    <col min="8960" max="8960" width="5.5703125" style="417" bestFit="1" customWidth="1"/>
    <col min="8961" max="8961" width="12.42578125" style="417" customWidth="1"/>
    <col min="8962" max="8962" width="15.85546875" style="417" customWidth="1"/>
    <col min="8963" max="8963" width="0" style="417" hidden="1" customWidth="1"/>
    <col min="8964" max="8964" width="13.28515625" style="417" customWidth="1"/>
    <col min="8965" max="8965" width="15.140625" style="417" customWidth="1"/>
    <col min="8966" max="8966" width="13" style="417" customWidth="1"/>
    <col min="8967" max="8967" width="0" style="417" hidden="1" customWidth="1"/>
    <col min="8968" max="8968" width="13" style="417" customWidth="1"/>
    <col min="8969" max="8969" width="15.42578125" style="417" customWidth="1"/>
    <col min="8970" max="8970" width="15.85546875" style="417" customWidth="1"/>
    <col min="8971" max="8971" width="0" style="417" hidden="1" customWidth="1"/>
    <col min="8972" max="8972" width="16" style="417" bestFit="1" customWidth="1"/>
    <col min="8973" max="8991" width="0" style="417" hidden="1" customWidth="1"/>
    <col min="8992" max="9215" width="9.140625" style="417"/>
    <col min="9216" max="9216" width="5.5703125" style="417" bestFit="1" customWidth="1"/>
    <col min="9217" max="9217" width="12.42578125" style="417" customWidth="1"/>
    <col min="9218" max="9218" width="15.85546875" style="417" customWidth="1"/>
    <col min="9219" max="9219" width="0" style="417" hidden="1" customWidth="1"/>
    <col min="9220" max="9220" width="13.28515625" style="417" customWidth="1"/>
    <col min="9221" max="9221" width="15.140625" style="417" customWidth="1"/>
    <col min="9222" max="9222" width="13" style="417" customWidth="1"/>
    <col min="9223" max="9223" width="0" style="417" hidden="1" customWidth="1"/>
    <col min="9224" max="9224" width="13" style="417" customWidth="1"/>
    <col min="9225" max="9225" width="15.42578125" style="417" customWidth="1"/>
    <col min="9226" max="9226" width="15.85546875" style="417" customWidth="1"/>
    <col min="9227" max="9227" width="0" style="417" hidden="1" customWidth="1"/>
    <col min="9228" max="9228" width="16" style="417" bestFit="1" customWidth="1"/>
    <col min="9229" max="9247" width="0" style="417" hidden="1" customWidth="1"/>
    <col min="9248" max="9471" width="9.140625" style="417"/>
    <col min="9472" max="9472" width="5.5703125" style="417" bestFit="1" customWidth="1"/>
    <col min="9473" max="9473" width="12.42578125" style="417" customWidth="1"/>
    <col min="9474" max="9474" width="15.85546875" style="417" customWidth="1"/>
    <col min="9475" max="9475" width="0" style="417" hidden="1" customWidth="1"/>
    <col min="9476" max="9476" width="13.28515625" style="417" customWidth="1"/>
    <col min="9477" max="9477" width="15.140625" style="417" customWidth="1"/>
    <col min="9478" max="9478" width="13" style="417" customWidth="1"/>
    <col min="9479" max="9479" width="0" style="417" hidden="1" customWidth="1"/>
    <col min="9480" max="9480" width="13" style="417" customWidth="1"/>
    <col min="9481" max="9481" width="15.42578125" style="417" customWidth="1"/>
    <col min="9482" max="9482" width="15.85546875" style="417" customWidth="1"/>
    <col min="9483" max="9483" width="0" style="417" hidden="1" customWidth="1"/>
    <col min="9484" max="9484" width="16" style="417" bestFit="1" customWidth="1"/>
    <col min="9485" max="9503" width="0" style="417" hidden="1" customWidth="1"/>
    <col min="9504" max="9727" width="9.140625" style="417"/>
    <col min="9728" max="9728" width="5.5703125" style="417" bestFit="1" customWidth="1"/>
    <col min="9729" max="9729" width="12.42578125" style="417" customWidth="1"/>
    <col min="9730" max="9730" width="15.85546875" style="417" customWidth="1"/>
    <col min="9731" max="9731" width="0" style="417" hidden="1" customWidth="1"/>
    <col min="9732" max="9732" width="13.28515625" style="417" customWidth="1"/>
    <col min="9733" max="9733" width="15.140625" style="417" customWidth="1"/>
    <col min="9734" max="9734" width="13" style="417" customWidth="1"/>
    <col min="9735" max="9735" width="0" style="417" hidden="1" customWidth="1"/>
    <col min="9736" max="9736" width="13" style="417" customWidth="1"/>
    <col min="9737" max="9737" width="15.42578125" style="417" customWidth="1"/>
    <col min="9738" max="9738" width="15.85546875" style="417" customWidth="1"/>
    <col min="9739" max="9739" width="0" style="417" hidden="1" customWidth="1"/>
    <col min="9740" max="9740" width="16" style="417" bestFit="1" customWidth="1"/>
    <col min="9741" max="9759" width="0" style="417" hidden="1" customWidth="1"/>
    <col min="9760" max="9983" width="9.140625" style="417"/>
    <col min="9984" max="9984" width="5.5703125" style="417" bestFit="1" customWidth="1"/>
    <col min="9985" max="9985" width="12.42578125" style="417" customWidth="1"/>
    <col min="9986" max="9986" width="15.85546875" style="417" customWidth="1"/>
    <col min="9987" max="9987" width="0" style="417" hidden="1" customWidth="1"/>
    <col min="9988" max="9988" width="13.28515625" style="417" customWidth="1"/>
    <col min="9989" max="9989" width="15.140625" style="417" customWidth="1"/>
    <col min="9990" max="9990" width="13" style="417" customWidth="1"/>
    <col min="9991" max="9991" width="0" style="417" hidden="1" customWidth="1"/>
    <col min="9992" max="9992" width="13" style="417" customWidth="1"/>
    <col min="9993" max="9993" width="15.42578125" style="417" customWidth="1"/>
    <col min="9994" max="9994" width="15.85546875" style="417" customWidth="1"/>
    <col min="9995" max="9995" width="0" style="417" hidden="1" customWidth="1"/>
    <col min="9996" max="9996" width="16" style="417" bestFit="1" customWidth="1"/>
    <col min="9997" max="10015" width="0" style="417" hidden="1" customWidth="1"/>
    <col min="10016" max="10239" width="9.140625" style="417"/>
    <col min="10240" max="10240" width="5.5703125" style="417" bestFit="1" customWidth="1"/>
    <col min="10241" max="10241" width="12.42578125" style="417" customWidth="1"/>
    <col min="10242" max="10242" width="15.85546875" style="417" customWidth="1"/>
    <col min="10243" max="10243" width="0" style="417" hidden="1" customWidth="1"/>
    <col min="10244" max="10244" width="13.28515625" style="417" customWidth="1"/>
    <col min="10245" max="10245" width="15.140625" style="417" customWidth="1"/>
    <col min="10246" max="10246" width="13" style="417" customWidth="1"/>
    <col min="10247" max="10247" width="0" style="417" hidden="1" customWidth="1"/>
    <col min="10248" max="10248" width="13" style="417" customWidth="1"/>
    <col min="10249" max="10249" width="15.42578125" style="417" customWidth="1"/>
    <col min="10250" max="10250" width="15.85546875" style="417" customWidth="1"/>
    <col min="10251" max="10251" width="0" style="417" hidden="1" customWidth="1"/>
    <col min="10252" max="10252" width="16" style="417" bestFit="1" customWidth="1"/>
    <col min="10253" max="10271" width="0" style="417" hidden="1" customWidth="1"/>
    <col min="10272" max="10495" width="9.140625" style="417"/>
    <col min="10496" max="10496" width="5.5703125" style="417" bestFit="1" customWidth="1"/>
    <col min="10497" max="10497" width="12.42578125" style="417" customWidth="1"/>
    <col min="10498" max="10498" width="15.85546875" style="417" customWidth="1"/>
    <col min="10499" max="10499" width="0" style="417" hidden="1" customWidth="1"/>
    <col min="10500" max="10500" width="13.28515625" style="417" customWidth="1"/>
    <col min="10501" max="10501" width="15.140625" style="417" customWidth="1"/>
    <col min="10502" max="10502" width="13" style="417" customWidth="1"/>
    <col min="10503" max="10503" width="0" style="417" hidden="1" customWidth="1"/>
    <col min="10504" max="10504" width="13" style="417" customWidth="1"/>
    <col min="10505" max="10505" width="15.42578125" style="417" customWidth="1"/>
    <col min="10506" max="10506" width="15.85546875" style="417" customWidth="1"/>
    <col min="10507" max="10507" width="0" style="417" hidden="1" customWidth="1"/>
    <col min="10508" max="10508" width="16" style="417" bestFit="1" customWidth="1"/>
    <col min="10509" max="10527" width="0" style="417" hidden="1" customWidth="1"/>
    <col min="10528" max="10751" width="9.140625" style="417"/>
    <col min="10752" max="10752" width="5.5703125" style="417" bestFit="1" customWidth="1"/>
    <col min="10753" max="10753" width="12.42578125" style="417" customWidth="1"/>
    <col min="10754" max="10754" width="15.85546875" style="417" customWidth="1"/>
    <col min="10755" max="10755" width="0" style="417" hidden="1" customWidth="1"/>
    <col min="10756" max="10756" width="13.28515625" style="417" customWidth="1"/>
    <col min="10757" max="10757" width="15.140625" style="417" customWidth="1"/>
    <col min="10758" max="10758" width="13" style="417" customWidth="1"/>
    <col min="10759" max="10759" width="0" style="417" hidden="1" customWidth="1"/>
    <col min="10760" max="10760" width="13" style="417" customWidth="1"/>
    <col min="10761" max="10761" width="15.42578125" style="417" customWidth="1"/>
    <col min="10762" max="10762" width="15.85546875" style="417" customWidth="1"/>
    <col min="10763" max="10763" width="0" style="417" hidden="1" customWidth="1"/>
    <col min="10764" max="10764" width="16" style="417" bestFit="1" customWidth="1"/>
    <col min="10765" max="10783" width="0" style="417" hidden="1" customWidth="1"/>
    <col min="10784" max="11007" width="9.140625" style="417"/>
    <col min="11008" max="11008" width="5.5703125" style="417" bestFit="1" customWidth="1"/>
    <col min="11009" max="11009" width="12.42578125" style="417" customWidth="1"/>
    <col min="11010" max="11010" width="15.85546875" style="417" customWidth="1"/>
    <col min="11011" max="11011" width="0" style="417" hidden="1" customWidth="1"/>
    <col min="11012" max="11012" width="13.28515625" style="417" customWidth="1"/>
    <col min="11013" max="11013" width="15.140625" style="417" customWidth="1"/>
    <col min="11014" max="11014" width="13" style="417" customWidth="1"/>
    <col min="11015" max="11015" width="0" style="417" hidden="1" customWidth="1"/>
    <col min="11016" max="11016" width="13" style="417" customWidth="1"/>
    <col min="11017" max="11017" width="15.42578125" style="417" customWidth="1"/>
    <col min="11018" max="11018" width="15.85546875" style="417" customWidth="1"/>
    <col min="11019" max="11019" width="0" style="417" hidden="1" customWidth="1"/>
    <col min="11020" max="11020" width="16" style="417" bestFit="1" customWidth="1"/>
    <col min="11021" max="11039" width="0" style="417" hidden="1" customWidth="1"/>
    <col min="11040" max="11263" width="9.140625" style="417"/>
    <col min="11264" max="11264" width="5.5703125" style="417" bestFit="1" customWidth="1"/>
    <col min="11265" max="11265" width="12.42578125" style="417" customWidth="1"/>
    <col min="11266" max="11266" width="15.85546875" style="417" customWidth="1"/>
    <col min="11267" max="11267" width="0" style="417" hidden="1" customWidth="1"/>
    <col min="11268" max="11268" width="13.28515625" style="417" customWidth="1"/>
    <col min="11269" max="11269" width="15.140625" style="417" customWidth="1"/>
    <col min="11270" max="11270" width="13" style="417" customWidth="1"/>
    <col min="11271" max="11271" width="0" style="417" hidden="1" customWidth="1"/>
    <col min="11272" max="11272" width="13" style="417" customWidth="1"/>
    <col min="11273" max="11273" width="15.42578125" style="417" customWidth="1"/>
    <col min="11274" max="11274" width="15.85546875" style="417" customWidth="1"/>
    <col min="11275" max="11275" width="0" style="417" hidden="1" customWidth="1"/>
    <col min="11276" max="11276" width="16" style="417" bestFit="1" customWidth="1"/>
    <col min="11277" max="11295" width="0" style="417" hidden="1" customWidth="1"/>
    <col min="11296" max="11519" width="9.140625" style="417"/>
    <col min="11520" max="11520" width="5.5703125" style="417" bestFit="1" customWidth="1"/>
    <col min="11521" max="11521" width="12.42578125" style="417" customWidth="1"/>
    <col min="11522" max="11522" width="15.85546875" style="417" customWidth="1"/>
    <col min="11523" max="11523" width="0" style="417" hidden="1" customWidth="1"/>
    <col min="11524" max="11524" width="13.28515625" style="417" customWidth="1"/>
    <col min="11525" max="11525" width="15.140625" style="417" customWidth="1"/>
    <col min="11526" max="11526" width="13" style="417" customWidth="1"/>
    <col min="11527" max="11527" width="0" style="417" hidden="1" customWidth="1"/>
    <col min="11528" max="11528" width="13" style="417" customWidth="1"/>
    <col min="11529" max="11529" width="15.42578125" style="417" customWidth="1"/>
    <col min="11530" max="11530" width="15.85546875" style="417" customWidth="1"/>
    <col min="11531" max="11531" width="0" style="417" hidden="1" customWidth="1"/>
    <col min="11532" max="11532" width="16" style="417" bestFit="1" customWidth="1"/>
    <col min="11533" max="11551" width="0" style="417" hidden="1" customWidth="1"/>
    <col min="11552" max="11775" width="9.140625" style="417"/>
    <col min="11776" max="11776" width="5.5703125" style="417" bestFit="1" customWidth="1"/>
    <col min="11777" max="11777" width="12.42578125" style="417" customWidth="1"/>
    <col min="11778" max="11778" width="15.85546875" style="417" customWidth="1"/>
    <col min="11779" max="11779" width="0" style="417" hidden="1" customWidth="1"/>
    <col min="11780" max="11780" width="13.28515625" style="417" customWidth="1"/>
    <col min="11781" max="11781" width="15.140625" style="417" customWidth="1"/>
    <col min="11782" max="11782" width="13" style="417" customWidth="1"/>
    <col min="11783" max="11783" width="0" style="417" hidden="1" customWidth="1"/>
    <col min="11784" max="11784" width="13" style="417" customWidth="1"/>
    <col min="11785" max="11785" width="15.42578125" style="417" customWidth="1"/>
    <col min="11786" max="11786" width="15.85546875" style="417" customWidth="1"/>
    <col min="11787" max="11787" width="0" style="417" hidden="1" customWidth="1"/>
    <col min="11788" max="11788" width="16" style="417" bestFit="1" customWidth="1"/>
    <col min="11789" max="11807" width="0" style="417" hidden="1" customWidth="1"/>
    <col min="11808" max="12031" width="9.140625" style="417"/>
    <col min="12032" max="12032" width="5.5703125" style="417" bestFit="1" customWidth="1"/>
    <col min="12033" max="12033" width="12.42578125" style="417" customWidth="1"/>
    <col min="12034" max="12034" width="15.85546875" style="417" customWidth="1"/>
    <col min="12035" max="12035" width="0" style="417" hidden="1" customWidth="1"/>
    <col min="12036" max="12036" width="13.28515625" style="417" customWidth="1"/>
    <col min="12037" max="12037" width="15.140625" style="417" customWidth="1"/>
    <col min="12038" max="12038" width="13" style="417" customWidth="1"/>
    <col min="12039" max="12039" width="0" style="417" hidden="1" customWidth="1"/>
    <col min="12040" max="12040" width="13" style="417" customWidth="1"/>
    <col min="12041" max="12041" width="15.42578125" style="417" customWidth="1"/>
    <col min="12042" max="12042" width="15.85546875" style="417" customWidth="1"/>
    <col min="12043" max="12043" width="0" style="417" hidden="1" customWidth="1"/>
    <col min="12044" max="12044" width="16" style="417" bestFit="1" customWidth="1"/>
    <col min="12045" max="12063" width="0" style="417" hidden="1" customWidth="1"/>
    <col min="12064" max="12287" width="9.140625" style="417"/>
    <col min="12288" max="12288" width="5.5703125" style="417" bestFit="1" customWidth="1"/>
    <col min="12289" max="12289" width="12.42578125" style="417" customWidth="1"/>
    <col min="12290" max="12290" width="15.85546875" style="417" customWidth="1"/>
    <col min="12291" max="12291" width="0" style="417" hidden="1" customWidth="1"/>
    <col min="12292" max="12292" width="13.28515625" style="417" customWidth="1"/>
    <col min="12293" max="12293" width="15.140625" style="417" customWidth="1"/>
    <col min="12294" max="12294" width="13" style="417" customWidth="1"/>
    <col min="12295" max="12295" width="0" style="417" hidden="1" customWidth="1"/>
    <col min="12296" max="12296" width="13" style="417" customWidth="1"/>
    <col min="12297" max="12297" width="15.42578125" style="417" customWidth="1"/>
    <col min="12298" max="12298" width="15.85546875" style="417" customWidth="1"/>
    <col min="12299" max="12299" width="0" style="417" hidden="1" customWidth="1"/>
    <col min="12300" max="12300" width="16" style="417" bestFit="1" customWidth="1"/>
    <col min="12301" max="12319" width="0" style="417" hidden="1" customWidth="1"/>
    <col min="12320" max="12543" width="9.140625" style="417"/>
    <col min="12544" max="12544" width="5.5703125" style="417" bestFit="1" customWidth="1"/>
    <col min="12545" max="12545" width="12.42578125" style="417" customWidth="1"/>
    <col min="12546" max="12546" width="15.85546875" style="417" customWidth="1"/>
    <col min="12547" max="12547" width="0" style="417" hidden="1" customWidth="1"/>
    <col min="12548" max="12548" width="13.28515625" style="417" customWidth="1"/>
    <col min="12549" max="12549" width="15.140625" style="417" customWidth="1"/>
    <col min="12550" max="12550" width="13" style="417" customWidth="1"/>
    <col min="12551" max="12551" width="0" style="417" hidden="1" customWidth="1"/>
    <col min="12552" max="12552" width="13" style="417" customWidth="1"/>
    <col min="12553" max="12553" width="15.42578125" style="417" customWidth="1"/>
    <col min="12554" max="12554" width="15.85546875" style="417" customWidth="1"/>
    <col min="12555" max="12555" width="0" style="417" hidden="1" customWidth="1"/>
    <col min="12556" max="12556" width="16" style="417" bestFit="1" customWidth="1"/>
    <col min="12557" max="12575" width="0" style="417" hidden="1" customWidth="1"/>
    <col min="12576" max="12799" width="9.140625" style="417"/>
    <col min="12800" max="12800" width="5.5703125" style="417" bestFit="1" customWidth="1"/>
    <col min="12801" max="12801" width="12.42578125" style="417" customWidth="1"/>
    <col min="12802" max="12802" width="15.85546875" style="417" customWidth="1"/>
    <col min="12803" max="12803" width="0" style="417" hidden="1" customWidth="1"/>
    <col min="12804" max="12804" width="13.28515625" style="417" customWidth="1"/>
    <col min="12805" max="12805" width="15.140625" style="417" customWidth="1"/>
    <col min="12806" max="12806" width="13" style="417" customWidth="1"/>
    <col min="12807" max="12807" width="0" style="417" hidden="1" customWidth="1"/>
    <col min="12808" max="12808" width="13" style="417" customWidth="1"/>
    <col min="12809" max="12809" width="15.42578125" style="417" customWidth="1"/>
    <col min="12810" max="12810" width="15.85546875" style="417" customWidth="1"/>
    <col min="12811" max="12811" width="0" style="417" hidden="1" customWidth="1"/>
    <col min="12812" max="12812" width="16" style="417" bestFit="1" customWidth="1"/>
    <col min="12813" max="12831" width="0" style="417" hidden="1" customWidth="1"/>
    <col min="12832" max="13055" width="9.140625" style="417"/>
    <col min="13056" max="13056" width="5.5703125" style="417" bestFit="1" customWidth="1"/>
    <col min="13057" max="13057" width="12.42578125" style="417" customWidth="1"/>
    <col min="13058" max="13058" width="15.85546875" style="417" customWidth="1"/>
    <col min="13059" max="13059" width="0" style="417" hidden="1" customWidth="1"/>
    <col min="13060" max="13060" width="13.28515625" style="417" customWidth="1"/>
    <col min="13061" max="13061" width="15.140625" style="417" customWidth="1"/>
    <col min="13062" max="13062" width="13" style="417" customWidth="1"/>
    <col min="13063" max="13063" width="0" style="417" hidden="1" customWidth="1"/>
    <col min="13064" max="13064" width="13" style="417" customWidth="1"/>
    <col min="13065" max="13065" width="15.42578125" style="417" customWidth="1"/>
    <col min="13066" max="13066" width="15.85546875" style="417" customWidth="1"/>
    <col min="13067" max="13067" width="0" style="417" hidden="1" customWidth="1"/>
    <col min="13068" max="13068" width="16" style="417" bestFit="1" customWidth="1"/>
    <col min="13069" max="13087" width="0" style="417" hidden="1" customWidth="1"/>
    <col min="13088" max="13311" width="9.140625" style="417"/>
    <col min="13312" max="13312" width="5.5703125" style="417" bestFit="1" customWidth="1"/>
    <col min="13313" max="13313" width="12.42578125" style="417" customWidth="1"/>
    <col min="13314" max="13314" width="15.85546875" style="417" customWidth="1"/>
    <col min="13315" max="13315" width="0" style="417" hidden="1" customWidth="1"/>
    <col min="13316" max="13316" width="13.28515625" style="417" customWidth="1"/>
    <col min="13317" max="13317" width="15.140625" style="417" customWidth="1"/>
    <col min="13318" max="13318" width="13" style="417" customWidth="1"/>
    <col min="13319" max="13319" width="0" style="417" hidden="1" customWidth="1"/>
    <col min="13320" max="13320" width="13" style="417" customWidth="1"/>
    <col min="13321" max="13321" width="15.42578125" style="417" customWidth="1"/>
    <col min="13322" max="13322" width="15.85546875" style="417" customWidth="1"/>
    <col min="13323" max="13323" width="0" style="417" hidden="1" customWidth="1"/>
    <col min="13324" max="13324" width="16" style="417" bestFit="1" customWidth="1"/>
    <col min="13325" max="13343" width="0" style="417" hidden="1" customWidth="1"/>
    <col min="13344" max="13567" width="9.140625" style="417"/>
    <col min="13568" max="13568" width="5.5703125" style="417" bestFit="1" customWidth="1"/>
    <col min="13569" max="13569" width="12.42578125" style="417" customWidth="1"/>
    <col min="13570" max="13570" width="15.85546875" style="417" customWidth="1"/>
    <col min="13571" max="13571" width="0" style="417" hidden="1" customWidth="1"/>
    <col min="13572" max="13572" width="13.28515625" style="417" customWidth="1"/>
    <col min="13573" max="13573" width="15.140625" style="417" customWidth="1"/>
    <col min="13574" max="13574" width="13" style="417" customWidth="1"/>
    <col min="13575" max="13575" width="0" style="417" hidden="1" customWidth="1"/>
    <col min="13576" max="13576" width="13" style="417" customWidth="1"/>
    <col min="13577" max="13577" width="15.42578125" style="417" customWidth="1"/>
    <col min="13578" max="13578" width="15.85546875" style="417" customWidth="1"/>
    <col min="13579" max="13579" width="0" style="417" hidden="1" customWidth="1"/>
    <col min="13580" max="13580" width="16" style="417" bestFit="1" customWidth="1"/>
    <col min="13581" max="13599" width="0" style="417" hidden="1" customWidth="1"/>
    <col min="13600" max="13823" width="9.140625" style="417"/>
    <col min="13824" max="13824" width="5.5703125" style="417" bestFit="1" customWidth="1"/>
    <col min="13825" max="13825" width="12.42578125" style="417" customWidth="1"/>
    <col min="13826" max="13826" width="15.85546875" style="417" customWidth="1"/>
    <col min="13827" max="13827" width="0" style="417" hidden="1" customWidth="1"/>
    <col min="13828" max="13828" width="13.28515625" style="417" customWidth="1"/>
    <col min="13829" max="13829" width="15.140625" style="417" customWidth="1"/>
    <col min="13830" max="13830" width="13" style="417" customWidth="1"/>
    <col min="13831" max="13831" width="0" style="417" hidden="1" customWidth="1"/>
    <col min="13832" max="13832" width="13" style="417" customWidth="1"/>
    <col min="13833" max="13833" width="15.42578125" style="417" customWidth="1"/>
    <col min="13834" max="13834" width="15.85546875" style="417" customWidth="1"/>
    <col min="13835" max="13835" width="0" style="417" hidden="1" customWidth="1"/>
    <col min="13836" max="13836" width="16" style="417" bestFit="1" customWidth="1"/>
    <col min="13837" max="13855" width="0" style="417" hidden="1" customWidth="1"/>
    <col min="13856" max="14079" width="9.140625" style="417"/>
    <col min="14080" max="14080" width="5.5703125" style="417" bestFit="1" customWidth="1"/>
    <col min="14081" max="14081" width="12.42578125" style="417" customWidth="1"/>
    <col min="14082" max="14082" width="15.85546875" style="417" customWidth="1"/>
    <col min="14083" max="14083" width="0" style="417" hidden="1" customWidth="1"/>
    <col min="14084" max="14084" width="13.28515625" style="417" customWidth="1"/>
    <col min="14085" max="14085" width="15.140625" style="417" customWidth="1"/>
    <col min="14086" max="14086" width="13" style="417" customWidth="1"/>
    <col min="14087" max="14087" width="0" style="417" hidden="1" customWidth="1"/>
    <col min="14088" max="14088" width="13" style="417" customWidth="1"/>
    <col min="14089" max="14089" width="15.42578125" style="417" customWidth="1"/>
    <col min="14090" max="14090" width="15.85546875" style="417" customWidth="1"/>
    <col min="14091" max="14091" width="0" style="417" hidden="1" customWidth="1"/>
    <col min="14092" max="14092" width="16" style="417" bestFit="1" customWidth="1"/>
    <col min="14093" max="14111" width="0" style="417" hidden="1" customWidth="1"/>
    <col min="14112" max="14335" width="9.140625" style="417"/>
    <col min="14336" max="14336" width="5.5703125" style="417" bestFit="1" customWidth="1"/>
    <col min="14337" max="14337" width="12.42578125" style="417" customWidth="1"/>
    <col min="14338" max="14338" width="15.85546875" style="417" customWidth="1"/>
    <col min="14339" max="14339" width="0" style="417" hidden="1" customWidth="1"/>
    <col min="14340" max="14340" width="13.28515625" style="417" customWidth="1"/>
    <col min="14341" max="14341" width="15.140625" style="417" customWidth="1"/>
    <col min="14342" max="14342" width="13" style="417" customWidth="1"/>
    <col min="14343" max="14343" width="0" style="417" hidden="1" customWidth="1"/>
    <col min="14344" max="14344" width="13" style="417" customWidth="1"/>
    <col min="14345" max="14345" width="15.42578125" style="417" customWidth="1"/>
    <col min="14346" max="14346" width="15.85546875" style="417" customWidth="1"/>
    <col min="14347" max="14347" width="0" style="417" hidden="1" customWidth="1"/>
    <col min="14348" max="14348" width="16" style="417" bestFit="1" customWidth="1"/>
    <col min="14349" max="14367" width="0" style="417" hidden="1" customWidth="1"/>
    <col min="14368" max="14591" width="9.140625" style="417"/>
    <col min="14592" max="14592" width="5.5703125" style="417" bestFit="1" customWidth="1"/>
    <col min="14593" max="14593" width="12.42578125" style="417" customWidth="1"/>
    <col min="14594" max="14594" width="15.85546875" style="417" customWidth="1"/>
    <col min="14595" max="14595" width="0" style="417" hidden="1" customWidth="1"/>
    <col min="14596" max="14596" width="13.28515625" style="417" customWidth="1"/>
    <col min="14597" max="14597" width="15.140625" style="417" customWidth="1"/>
    <col min="14598" max="14598" width="13" style="417" customWidth="1"/>
    <col min="14599" max="14599" width="0" style="417" hidden="1" customWidth="1"/>
    <col min="14600" max="14600" width="13" style="417" customWidth="1"/>
    <col min="14601" max="14601" width="15.42578125" style="417" customWidth="1"/>
    <col min="14602" max="14602" width="15.85546875" style="417" customWidth="1"/>
    <col min="14603" max="14603" width="0" style="417" hidden="1" customWidth="1"/>
    <col min="14604" max="14604" width="16" style="417" bestFit="1" customWidth="1"/>
    <col min="14605" max="14623" width="0" style="417" hidden="1" customWidth="1"/>
    <col min="14624" max="14847" width="9.140625" style="417"/>
    <col min="14848" max="14848" width="5.5703125" style="417" bestFit="1" customWidth="1"/>
    <col min="14849" max="14849" width="12.42578125" style="417" customWidth="1"/>
    <col min="14850" max="14850" width="15.85546875" style="417" customWidth="1"/>
    <col min="14851" max="14851" width="0" style="417" hidden="1" customWidth="1"/>
    <col min="14852" max="14852" width="13.28515625" style="417" customWidth="1"/>
    <col min="14853" max="14853" width="15.140625" style="417" customWidth="1"/>
    <col min="14854" max="14854" width="13" style="417" customWidth="1"/>
    <col min="14855" max="14855" width="0" style="417" hidden="1" customWidth="1"/>
    <col min="14856" max="14856" width="13" style="417" customWidth="1"/>
    <col min="14857" max="14857" width="15.42578125" style="417" customWidth="1"/>
    <col min="14858" max="14858" width="15.85546875" style="417" customWidth="1"/>
    <col min="14859" max="14859" width="0" style="417" hidden="1" customWidth="1"/>
    <col min="14860" max="14860" width="16" style="417" bestFit="1" customWidth="1"/>
    <col min="14861" max="14879" width="0" style="417" hidden="1" customWidth="1"/>
    <col min="14880" max="15103" width="9.140625" style="417"/>
    <col min="15104" max="15104" width="5.5703125" style="417" bestFit="1" customWidth="1"/>
    <col min="15105" max="15105" width="12.42578125" style="417" customWidth="1"/>
    <col min="15106" max="15106" width="15.85546875" style="417" customWidth="1"/>
    <col min="15107" max="15107" width="0" style="417" hidden="1" customWidth="1"/>
    <col min="15108" max="15108" width="13.28515625" style="417" customWidth="1"/>
    <col min="15109" max="15109" width="15.140625" style="417" customWidth="1"/>
    <col min="15110" max="15110" width="13" style="417" customWidth="1"/>
    <col min="15111" max="15111" width="0" style="417" hidden="1" customWidth="1"/>
    <col min="15112" max="15112" width="13" style="417" customWidth="1"/>
    <col min="15113" max="15113" width="15.42578125" style="417" customWidth="1"/>
    <col min="15114" max="15114" width="15.85546875" style="417" customWidth="1"/>
    <col min="15115" max="15115" width="0" style="417" hidden="1" customWidth="1"/>
    <col min="15116" max="15116" width="16" style="417" bestFit="1" customWidth="1"/>
    <col min="15117" max="15135" width="0" style="417" hidden="1" customWidth="1"/>
    <col min="15136" max="15359" width="9.140625" style="417"/>
    <col min="15360" max="15360" width="5.5703125" style="417" bestFit="1" customWidth="1"/>
    <col min="15361" max="15361" width="12.42578125" style="417" customWidth="1"/>
    <col min="15362" max="15362" width="15.85546875" style="417" customWidth="1"/>
    <col min="15363" max="15363" width="0" style="417" hidden="1" customWidth="1"/>
    <col min="15364" max="15364" width="13.28515625" style="417" customWidth="1"/>
    <col min="15365" max="15365" width="15.140625" style="417" customWidth="1"/>
    <col min="15366" max="15366" width="13" style="417" customWidth="1"/>
    <col min="15367" max="15367" width="0" style="417" hidden="1" customWidth="1"/>
    <col min="15368" max="15368" width="13" style="417" customWidth="1"/>
    <col min="15369" max="15369" width="15.42578125" style="417" customWidth="1"/>
    <col min="15370" max="15370" width="15.85546875" style="417" customWidth="1"/>
    <col min="15371" max="15371" width="0" style="417" hidden="1" customWidth="1"/>
    <col min="15372" max="15372" width="16" style="417" bestFit="1" customWidth="1"/>
    <col min="15373" max="15391" width="0" style="417" hidden="1" customWidth="1"/>
    <col min="15392" max="15615" width="9.140625" style="417"/>
    <col min="15616" max="15616" width="5.5703125" style="417" bestFit="1" customWidth="1"/>
    <col min="15617" max="15617" width="12.42578125" style="417" customWidth="1"/>
    <col min="15618" max="15618" width="15.85546875" style="417" customWidth="1"/>
    <col min="15619" max="15619" width="0" style="417" hidden="1" customWidth="1"/>
    <col min="15620" max="15620" width="13.28515625" style="417" customWidth="1"/>
    <col min="15621" max="15621" width="15.140625" style="417" customWidth="1"/>
    <col min="15622" max="15622" width="13" style="417" customWidth="1"/>
    <col min="15623" max="15623" width="0" style="417" hidden="1" customWidth="1"/>
    <col min="15624" max="15624" width="13" style="417" customWidth="1"/>
    <col min="15625" max="15625" width="15.42578125" style="417" customWidth="1"/>
    <col min="15626" max="15626" width="15.85546875" style="417" customWidth="1"/>
    <col min="15627" max="15627" width="0" style="417" hidden="1" customWidth="1"/>
    <col min="15628" max="15628" width="16" style="417" bestFit="1" customWidth="1"/>
    <col min="15629" max="15647" width="0" style="417" hidden="1" customWidth="1"/>
    <col min="15648" max="15871" width="9.140625" style="417"/>
    <col min="15872" max="15872" width="5.5703125" style="417" bestFit="1" customWidth="1"/>
    <col min="15873" max="15873" width="12.42578125" style="417" customWidth="1"/>
    <col min="15874" max="15874" width="15.85546875" style="417" customWidth="1"/>
    <col min="15875" max="15875" width="0" style="417" hidden="1" customWidth="1"/>
    <col min="15876" max="15876" width="13.28515625" style="417" customWidth="1"/>
    <col min="15877" max="15877" width="15.140625" style="417" customWidth="1"/>
    <col min="15878" max="15878" width="13" style="417" customWidth="1"/>
    <col min="15879" max="15879" width="0" style="417" hidden="1" customWidth="1"/>
    <col min="15880" max="15880" width="13" style="417" customWidth="1"/>
    <col min="15881" max="15881" width="15.42578125" style="417" customWidth="1"/>
    <col min="15882" max="15882" width="15.85546875" style="417" customWidth="1"/>
    <col min="15883" max="15883" width="0" style="417" hidden="1" customWidth="1"/>
    <col min="15884" max="15884" width="16" style="417" bestFit="1" customWidth="1"/>
    <col min="15885" max="15903" width="0" style="417" hidden="1" customWidth="1"/>
    <col min="15904" max="16127" width="9.140625" style="417"/>
    <col min="16128" max="16128" width="5.5703125" style="417" bestFit="1" customWidth="1"/>
    <col min="16129" max="16129" width="12.42578125" style="417" customWidth="1"/>
    <col min="16130" max="16130" width="15.85546875" style="417" customWidth="1"/>
    <col min="16131" max="16131" width="0" style="417" hidden="1" customWidth="1"/>
    <col min="16132" max="16132" width="13.28515625" style="417" customWidth="1"/>
    <col min="16133" max="16133" width="15.140625" style="417" customWidth="1"/>
    <col min="16134" max="16134" width="13" style="417" customWidth="1"/>
    <col min="16135" max="16135" width="0" style="417" hidden="1" customWidth="1"/>
    <col min="16136" max="16136" width="13" style="417" customWidth="1"/>
    <col min="16137" max="16137" width="15.42578125" style="417" customWidth="1"/>
    <col min="16138" max="16138" width="15.85546875" style="417" customWidth="1"/>
    <col min="16139" max="16139" width="0" style="417" hidden="1" customWidth="1"/>
    <col min="16140" max="16140" width="16" style="417" bestFit="1" customWidth="1"/>
    <col min="16141" max="16159" width="0" style="417" hidden="1" customWidth="1"/>
    <col min="16160" max="16384" width="9.140625" style="417"/>
  </cols>
  <sheetData>
    <row r="1" spans="1:32" ht="19.5">
      <c r="A1" s="796" t="s">
        <v>790</v>
      </c>
      <c r="B1" s="796"/>
      <c r="C1" s="796"/>
      <c r="D1" s="796"/>
      <c r="E1" s="796"/>
      <c r="F1" s="796"/>
      <c r="G1" s="796"/>
      <c r="H1" s="796"/>
      <c r="I1" s="796"/>
      <c r="J1" s="796"/>
      <c r="K1" s="796"/>
      <c r="L1" s="796"/>
      <c r="M1" s="416"/>
      <c r="N1" s="416"/>
    </row>
    <row r="2" spans="1:32" ht="17.25">
      <c r="A2" s="797" t="s">
        <v>772</v>
      </c>
      <c r="B2" s="797"/>
      <c r="C2" s="797"/>
      <c r="D2" s="797"/>
      <c r="E2" s="797"/>
      <c r="F2" s="797"/>
      <c r="G2" s="797"/>
      <c r="H2" s="797"/>
      <c r="I2" s="797"/>
      <c r="J2" s="797"/>
      <c r="K2" s="797"/>
      <c r="L2" s="797"/>
      <c r="M2" s="418"/>
      <c r="N2" s="418"/>
    </row>
    <row r="3" spans="1:32" ht="15.75" customHeight="1">
      <c r="A3" s="798"/>
      <c r="B3" s="798"/>
      <c r="C3" s="798"/>
      <c r="D3" s="798"/>
      <c r="E3" s="798"/>
      <c r="F3" s="798"/>
      <c r="G3" s="798"/>
      <c r="H3" s="798"/>
      <c r="I3" s="798"/>
      <c r="J3" s="798"/>
      <c r="K3" s="419"/>
      <c r="L3" s="419"/>
      <c r="M3" s="419"/>
      <c r="N3" s="419"/>
    </row>
    <row r="4" spans="1:32">
      <c r="A4" s="792" t="s">
        <v>25</v>
      </c>
      <c r="B4" s="794" t="s">
        <v>773</v>
      </c>
      <c r="C4" s="799" t="s">
        <v>774</v>
      </c>
      <c r="D4" s="799"/>
      <c r="E4" s="799"/>
      <c r="F4" s="800" t="s">
        <v>775</v>
      </c>
      <c r="G4" s="801"/>
      <c r="H4" s="802"/>
      <c r="I4" s="803" t="s">
        <v>776</v>
      </c>
      <c r="J4" s="804"/>
      <c r="K4" s="805"/>
      <c r="L4" s="806" t="s">
        <v>317</v>
      </c>
      <c r="M4" s="420"/>
      <c r="N4" s="421" t="s">
        <v>777</v>
      </c>
    </row>
    <row r="5" spans="1:32">
      <c r="A5" s="793"/>
      <c r="B5" s="795"/>
      <c r="C5" s="420" t="s">
        <v>778</v>
      </c>
      <c r="D5" s="420" t="s">
        <v>779</v>
      </c>
      <c r="E5" s="420" t="s">
        <v>780</v>
      </c>
      <c r="F5" s="420" t="s">
        <v>778</v>
      </c>
      <c r="G5" s="420" t="s">
        <v>779</v>
      </c>
      <c r="H5" s="420" t="s">
        <v>780</v>
      </c>
      <c r="I5" s="420" t="s">
        <v>778</v>
      </c>
      <c r="J5" s="420" t="s">
        <v>779</v>
      </c>
      <c r="K5" s="420" t="s">
        <v>780</v>
      </c>
      <c r="L5" s="807"/>
      <c r="M5" s="420"/>
      <c r="N5" s="420" t="s">
        <v>781</v>
      </c>
    </row>
    <row r="6" spans="1:32">
      <c r="A6" s="422">
        <v>1</v>
      </c>
      <c r="B6" s="444" t="s">
        <v>783</v>
      </c>
      <c r="C6" s="423">
        <v>3.26</v>
      </c>
      <c r="D6" s="423">
        <v>3.26</v>
      </c>
      <c r="E6" s="423">
        <f>+MIN(C6:D6)</f>
        <v>3.26</v>
      </c>
      <c r="F6" s="424"/>
      <c r="G6" s="424"/>
      <c r="H6" s="424"/>
      <c r="I6" s="425"/>
      <c r="J6" s="426"/>
      <c r="K6" s="426"/>
      <c r="L6" s="426"/>
      <c r="M6" s="427"/>
      <c r="N6" s="427"/>
    </row>
    <row r="7" spans="1:32">
      <c r="A7" s="422"/>
      <c r="B7" s="422"/>
      <c r="C7" s="423"/>
      <c r="D7" s="423"/>
      <c r="E7" s="423"/>
      <c r="F7" s="424">
        <v>12</v>
      </c>
      <c r="G7" s="424">
        <v>12</v>
      </c>
      <c r="H7" s="424">
        <f t="shared" ref="H7:H14" si="0">MIN(F7:G7)</f>
        <v>12</v>
      </c>
      <c r="I7" s="425">
        <f>+(C6+C8)/2*F7</f>
        <v>50.16</v>
      </c>
      <c r="J7" s="425">
        <f>+(D6+D8)/2*G7</f>
        <v>50.16</v>
      </c>
      <c r="K7" s="425">
        <f>MIN((E6+E8)/2*H7,I7)</f>
        <v>50.16</v>
      </c>
      <c r="L7" s="426"/>
      <c r="M7" s="427"/>
      <c r="N7" s="427"/>
      <c r="AF7" s="428"/>
    </row>
    <row r="8" spans="1:32">
      <c r="A8" s="422">
        <f>+A6+1</f>
        <v>2</v>
      </c>
      <c r="B8" s="445" t="s">
        <v>784</v>
      </c>
      <c r="C8" s="423">
        <v>5.0999999999999996</v>
      </c>
      <c r="D8" s="423">
        <v>5.0999999999999996</v>
      </c>
      <c r="E8" s="423">
        <f>+MIN(C8:D8)</f>
        <v>5.0999999999999996</v>
      </c>
      <c r="F8" s="424"/>
      <c r="G8" s="424"/>
      <c r="H8" s="424">
        <f t="shared" si="0"/>
        <v>0</v>
      </c>
      <c r="I8" s="425"/>
      <c r="J8" s="425"/>
      <c r="K8" s="425">
        <f t="shared" ref="K8:K13" si="1">MIN((E7+E9)/2*H8,I8)</f>
        <v>0</v>
      </c>
      <c r="L8" s="425"/>
      <c r="M8" s="427">
        <f>210</f>
        <v>210</v>
      </c>
      <c r="N8" s="427">
        <f>M8/2</f>
        <v>105</v>
      </c>
      <c r="AF8" s="428"/>
    </row>
    <row r="9" spans="1:32">
      <c r="A9" s="422"/>
      <c r="B9" s="422"/>
      <c r="C9" s="423"/>
      <c r="D9" s="423"/>
      <c r="E9" s="423"/>
      <c r="F9" s="424">
        <v>12</v>
      </c>
      <c r="G9" s="424">
        <v>12</v>
      </c>
      <c r="H9" s="424">
        <f t="shared" si="0"/>
        <v>12</v>
      </c>
      <c r="I9" s="425">
        <f>+(C8+C10)/2*F9</f>
        <v>49.5</v>
      </c>
      <c r="J9" s="425">
        <f>+(D8+D10)/2*G9</f>
        <v>49.5</v>
      </c>
      <c r="K9" s="425">
        <f t="shared" si="1"/>
        <v>49.5</v>
      </c>
      <c r="L9" s="425"/>
      <c r="M9" s="427"/>
      <c r="N9" s="427"/>
      <c r="AF9" s="428"/>
    </row>
    <row r="10" spans="1:32">
      <c r="A10" s="422">
        <f>+A8+1</f>
        <v>3</v>
      </c>
      <c r="B10" s="445" t="s">
        <v>785</v>
      </c>
      <c r="C10" s="423">
        <v>3.15</v>
      </c>
      <c r="D10" s="423">
        <v>3.15</v>
      </c>
      <c r="E10" s="423">
        <f>+MIN(C10:D10)</f>
        <v>3.15</v>
      </c>
      <c r="F10" s="424"/>
      <c r="G10" s="424"/>
      <c r="H10" s="424">
        <f t="shared" si="0"/>
        <v>0</v>
      </c>
      <c r="I10" s="425"/>
      <c r="J10" s="425"/>
      <c r="K10" s="425">
        <f t="shared" si="1"/>
        <v>0</v>
      </c>
      <c r="L10" s="425"/>
      <c r="M10" s="427">
        <v>408</v>
      </c>
      <c r="N10" s="427">
        <f>((M10-M8)/2)</f>
        <v>99</v>
      </c>
      <c r="O10" s="429">
        <f>N8+N10</f>
        <v>204</v>
      </c>
      <c r="P10" s="429">
        <f>H7-N8</f>
        <v>-93</v>
      </c>
      <c r="AF10" s="428"/>
    </row>
    <row r="11" spans="1:32">
      <c r="A11" s="422"/>
      <c r="B11" s="422"/>
      <c r="C11" s="423"/>
      <c r="D11" s="423"/>
      <c r="E11" s="423"/>
      <c r="F11" s="424">
        <v>12</v>
      </c>
      <c r="G11" s="424">
        <v>12</v>
      </c>
      <c r="H11" s="424">
        <f t="shared" si="0"/>
        <v>12</v>
      </c>
      <c r="I11" s="425">
        <f>+(C10+C12)/2*F11</f>
        <v>31.799999999999997</v>
      </c>
      <c r="J11" s="425">
        <f>+(D10+D12)/2*G11</f>
        <v>31.799999999999997</v>
      </c>
      <c r="K11" s="425">
        <f t="shared" si="1"/>
        <v>31.799999999999997</v>
      </c>
      <c r="L11" s="425"/>
      <c r="M11" s="427"/>
      <c r="N11" s="427"/>
      <c r="O11" s="429"/>
      <c r="P11" s="429"/>
      <c r="AF11" s="428"/>
    </row>
    <row r="12" spans="1:32">
      <c r="A12" s="422">
        <f>+A10+1</f>
        <v>4</v>
      </c>
      <c r="B12" s="445" t="s">
        <v>786</v>
      </c>
      <c r="C12" s="423">
        <v>2.15</v>
      </c>
      <c r="D12" s="423">
        <v>2.15</v>
      </c>
      <c r="E12" s="423">
        <f>+MIN(C12:D12)</f>
        <v>2.15</v>
      </c>
      <c r="F12" s="424"/>
      <c r="G12" s="424"/>
      <c r="H12" s="424">
        <f t="shared" si="0"/>
        <v>0</v>
      </c>
      <c r="I12" s="425"/>
      <c r="J12" s="425"/>
      <c r="K12" s="425">
        <f t="shared" si="1"/>
        <v>0</v>
      </c>
      <c r="L12" s="425"/>
      <c r="M12" s="427">
        <v>607</v>
      </c>
      <c r="N12" s="427">
        <f>((M12-M10)/2)</f>
        <v>99.5</v>
      </c>
      <c r="O12" s="429">
        <f>O10+N12</f>
        <v>303.5</v>
      </c>
      <c r="P12" s="429">
        <f>H9-N10</f>
        <v>-87</v>
      </c>
      <c r="AF12" s="428"/>
    </row>
    <row r="13" spans="1:32">
      <c r="A13" s="422"/>
      <c r="B13" s="422"/>
      <c r="C13" s="423"/>
      <c r="D13" s="423"/>
      <c r="E13" s="423"/>
      <c r="F13" s="424">
        <v>12</v>
      </c>
      <c r="G13" s="424">
        <v>12.5</v>
      </c>
      <c r="H13" s="424">
        <f t="shared" si="0"/>
        <v>12</v>
      </c>
      <c r="I13" s="425">
        <f>+(C12+C14)/2*F13</f>
        <v>23.88</v>
      </c>
      <c r="J13" s="425">
        <f>+(D12+D14)/2*G13</f>
        <v>24.875</v>
      </c>
      <c r="K13" s="425">
        <f t="shared" si="1"/>
        <v>23.88</v>
      </c>
      <c r="L13" s="425"/>
      <c r="M13" s="427"/>
      <c r="N13" s="427"/>
      <c r="O13" s="429"/>
      <c r="P13" s="429"/>
      <c r="AF13" s="428"/>
    </row>
    <row r="14" spans="1:32">
      <c r="A14" s="422">
        <f>+A12+1</f>
        <v>5</v>
      </c>
      <c r="B14" s="445" t="s">
        <v>787</v>
      </c>
      <c r="C14" s="423">
        <v>1.83</v>
      </c>
      <c r="D14" s="423">
        <v>1.83</v>
      </c>
      <c r="E14" s="423">
        <f>+MIN(C14:D14)</f>
        <v>1.83</v>
      </c>
      <c r="F14" s="424"/>
      <c r="G14" s="424">
        <v>0</v>
      </c>
      <c r="H14" s="424">
        <f t="shared" si="0"/>
        <v>0</v>
      </c>
      <c r="I14" s="425"/>
      <c r="J14" s="425"/>
      <c r="K14" s="425"/>
      <c r="L14" s="425"/>
      <c r="M14" s="427">
        <v>808</v>
      </c>
      <c r="N14" s="427">
        <f>((M14-M12)/2)</f>
        <v>100.5</v>
      </c>
      <c r="O14" s="429">
        <f>O12+N14</f>
        <v>404</v>
      </c>
      <c r="P14" s="429">
        <f>H11-N12</f>
        <v>-87.5</v>
      </c>
      <c r="AF14" s="428"/>
    </row>
    <row r="15" spans="1:32" s="432" customFormat="1" ht="21" customHeight="1">
      <c r="A15" s="434"/>
      <c r="B15" s="430" t="s">
        <v>782</v>
      </c>
      <c r="C15" s="434"/>
      <c r="D15" s="434"/>
      <c r="E15" s="434"/>
      <c r="F15" s="431">
        <f t="shared" ref="F15:K15" si="2">+SUM(F6:F14)</f>
        <v>48</v>
      </c>
      <c r="G15" s="431">
        <f t="shared" si="2"/>
        <v>48.5</v>
      </c>
      <c r="H15" s="431">
        <f t="shared" si="2"/>
        <v>48</v>
      </c>
      <c r="I15" s="431">
        <f t="shared" si="2"/>
        <v>155.33999999999997</v>
      </c>
      <c r="J15" s="431">
        <f t="shared" si="2"/>
        <v>156.33499999999998</v>
      </c>
      <c r="K15" s="431">
        <f t="shared" si="2"/>
        <v>155.33999999999997</v>
      </c>
      <c r="L15" s="434"/>
      <c r="M15" s="435"/>
      <c r="N15" s="435"/>
    </row>
    <row r="16" spans="1:32" s="432" customFormat="1" ht="21" customHeight="1">
      <c r="A16" s="446"/>
      <c r="B16" s="447"/>
      <c r="C16" s="446"/>
      <c r="D16" s="446"/>
      <c r="E16" s="446"/>
      <c r="F16" s="448"/>
      <c r="G16" s="448"/>
      <c r="H16" s="448"/>
      <c r="I16" s="448"/>
      <c r="J16" s="448"/>
      <c r="K16" s="448"/>
      <c r="L16" s="446"/>
      <c r="M16" s="435"/>
      <c r="N16" s="435"/>
    </row>
    <row r="17" spans="3:35" s="437" customFormat="1" ht="15.75">
      <c r="C17" s="438" t="s">
        <v>788</v>
      </c>
      <c r="D17" s="438"/>
      <c r="G17" s="439"/>
      <c r="I17" s="438" t="s">
        <v>789</v>
      </c>
      <c r="P17" s="438"/>
      <c r="Q17" s="438"/>
      <c r="R17" s="438"/>
      <c r="S17" s="438"/>
      <c r="T17" s="438"/>
      <c r="U17" s="438"/>
      <c r="V17" s="438"/>
      <c r="W17" s="438"/>
      <c r="X17" s="438"/>
      <c r="Y17" s="438"/>
      <c r="Z17" s="438"/>
      <c r="AA17" s="438"/>
    </row>
    <row r="18" spans="3:35">
      <c r="G18" s="440"/>
      <c r="J18" s="441"/>
      <c r="K18" s="441"/>
      <c r="L18" s="441"/>
      <c r="AH18" s="441"/>
    </row>
    <row r="19" spans="3:35">
      <c r="J19" s="441"/>
      <c r="K19" s="441"/>
      <c r="L19" s="441"/>
    </row>
    <row r="20" spans="3:35">
      <c r="AG20" s="433"/>
      <c r="AH20" s="433"/>
      <c r="AI20" s="433"/>
    </row>
    <row r="22" spans="3:35" ht="15.75">
      <c r="C22" s="442" t="s">
        <v>746</v>
      </c>
      <c r="E22" s="436"/>
      <c r="I22" s="443" t="s">
        <v>744</v>
      </c>
    </row>
  </sheetData>
  <mergeCells count="9">
    <mergeCell ref="A4:A5"/>
    <mergeCell ref="B4:B5"/>
    <mergeCell ref="A1:L1"/>
    <mergeCell ref="A2:L2"/>
    <mergeCell ref="A3:J3"/>
    <mergeCell ref="C4:E4"/>
    <mergeCell ref="F4:H4"/>
    <mergeCell ref="I4:K4"/>
    <mergeCell ref="L4:L5"/>
  </mergeCells>
  <pageMargins left="0.93" right="0.23622047244094491" top="0.67" bottom="0.33" header="0.51181102362204722" footer="0.19685039370078741"/>
  <pageSetup paperSize="9" orientation="landscape" r:id="rId1"/>
  <headerFooter alignWithMargins="0">
    <oddFooter>&amp;CPage &amp;P</oddFooter>
  </headerFooter>
</worksheet>
</file>

<file path=xl/worksheets/sheet24.xml><?xml version="1.0" encoding="utf-8"?>
<worksheet xmlns="http://schemas.openxmlformats.org/spreadsheetml/2006/main" xmlns:r="http://schemas.openxmlformats.org/officeDocument/2006/relationships">
  <sheetPr>
    <tabColor rgb="FFFFFF00"/>
  </sheetPr>
  <dimension ref="A1:K36"/>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22.5">
      <c r="A1" s="263" t="s">
        <v>738</v>
      </c>
      <c r="B1" s="264"/>
      <c r="C1" s="264"/>
      <c r="D1" s="264"/>
      <c r="E1" s="264"/>
      <c r="F1" s="264"/>
      <c r="G1" s="264"/>
      <c r="H1" s="264"/>
      <c r="I1" s="264"/>
      <c r="J1" s="265"/>
    </row>
    <row r="2" spans="1:11" s="266" customFormat="1" ht="20.25">
      <c r="A2" s="264"/>
      <c r="B2" s="264"/>
      <c r="C2" s="264"/>
      <c r="D2" s="264"/>
      <c r="E2" s="264"/>
      <c r="F2" s="392" t="s">
        <v>740</v>
      </c>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14.25">
      <c r="A5" s="751"/>
      <c r="B5" s="752"/>
      <c r="C5" s="751"/>
      <c r="D5" s="754"/>
      <c r="E5" s="274" t="s">
        <v>470</v>
      </c>
      <c r="F5" s="274" t="s">
        <v>471</v>
      </c>
      <c r="G5" s="274" t="s">
        <v>472</v>
      </c>
      <c r="H5" s="274" t="s">
        <v>471</v>
      </c>
      <c r="I5" s="754"/>
      <c r="J5" s="751"/>
    </row>
    <row r="6" spans="1:11" s="273" customFormat="1" ht="15">
      <c r="A6" s="748" t="s">
        <v>739</v>
      </c>
      <c r="B6" s="258">
        <v>1</v>
      </c>
      <c r="C6" s="257">
        <v>6</v>
      </c>
      <c r="D6" s="275">
        <v>9</v>
      </c>
      <c r="E6" s="275">
        <f>ROUND(100/5+150/10+670/15+150/10,0)</f>
        <v>95</v>
      </c>
      <c r="F6" s="275">
        <f t="shared" ref="F6:F13" si="0">D6*E6</f>
        <v>855</v>
      </c>
      <c r="G6" s="276">
        <v>0.7</v>
      </c>
      <c r="H6" s="277">
        <f t="shared" ref="H6:H13" si="1">ROUND(F6*G6,3)</f>
        <v>598.5</v>
      </c>
      <c r="I6" s="278">
        <f t="shared" ref="I6:I13" si="2">ROUND(3.1416*(C6/1000)^2/4*7850*1,3)</f>
        <v>0.222</v>
      </c>
      <c r="J6" s="279">
        <f t="shared" ref="J6:J13" si="3">ROUND(H6*I6,3)</f>
        <v>132.86699999999999</v>
      </c>
    </row>
    <row r="7" spans="1:11" s="273" customFormat="1" ht="15">
      <c r="A7" s="748"/>
      <c r="B7" s="258">
        <v>2</v>
      </c>
      <c r="C7" s="257">
        <v>6</v>
      </c>
      <c r="D7" s="275">
        <v>9</v>
      </c>
      <c r="E7" s="275">
        <v>4</v>
      </c>
      <c r="F7" s="275">
        <f t="shared" si="0"/>
        <v>36</v>
      </c>
      <c r="G7" s="276">
        <v>0.75</v>
      </c>
      <c r="H7" s="277">
        <f t="shared" si="1"/>
        <v>27</v>
      </c>
      <c r="I7" s="278">
        <f t="shared" si="2"/>
        <v>0.222</v>
      </c>
      <c r="J7" s="279">
        <f t="shared" si="3"/>
        <v>5.9939999999999998</v>
      </c>
      <c r="K7" s="280"/>
    </row>
    <row r="8" spans="1:11" s="281" customFormat="1" ht="15">
      <c r="A8" s="748"/>
      <c r="B8" s="258">
        <v>3</v>
      </c>
      <c r="C8" s="257">
        <v>6</v>
      </c>
      <c r="D8" s="275">
        <v>9</v>
      </c>
      <c r="E8" s="275">
        <v>20</v>
      </c>
      <c r="F8" s="275">
        <f t="shared" si="0"/>
        <v>180</v>
      </c>
      <c r="G8" s="276">
        <v>0.25</v>
      </c>
      <c r="H8" s="277">
        <f t="shared" si="1"/>
        <v>45</v>
      </c>
      <c r="I8" s="278">
        <f t="shared" si="2"/>
        <v>0.222</v>
      </c>
      <c r="J8" s="279">
        <f t="shared" si="3"/>
        <v>9.99</v>
      </c>
    </row>
    <row r="9" spans="1:11" s="273" customFormat="1" ht="15">
      <c r="A9" s="748"/>
      <c r="B9" s="258">
        <v>4</v>
      </c>
      <c r="C9" s="257">
        <v>18</v>
      </c>
      <c r="D9" s="275">
        <v>9</v>
      </c>
      <c r="E9" s="275">
        <v>2</v>
      </c>
      <c r="F9" s="275">
        <f t="shared" si="0"/>
        <v>18</v>
      </c>
      <c r="G9" s="276">
        <v>1.46</v>
      </c>
      <c r="H9" s="277">
        <f t="shared" si="1"/>
        <v>26.28</v>
      </c>
      <c r="I9" s="278">
        <f t="shared" si="2"/>
        <v>1.998</v>
      </c>
      <c r="J9" s="279">
        <f t="shared" si="3"/>
        <v>52.506999999999998</v>
      </c>
    </row>
    <row r="10" spans="1:11" s="273" customFormat="1" ht="15">
      <c r="A10" s="748"/>
      <c r="B10" s="258">
        <v>5</v>
      </c>
      <c r="C10" s="257">
        <v>14</v>
      </c>
      <c r="D10" s="275">
        <v>9</v>
      </c>
      <c r="E10" s="275">
        <v>8</v>
      </c>
      <c r="F10" s="275">
        <f t="shared" si="0"/>
        <v>72</v>
      </c>
      <c r="G10" s="276">
        <v>0.15</v>
      </c>
      <c r="H10" s="277">
        <f t="shared" si="1"/>
        <v>10.8</v>
      </c>
      <c r="I10" s="278">
        <f t="shared" si="2"/>
        <v>1.208</v>
      </c>
      <c r="J10" s="279">
        <f t="shared" si="3"/>
        <v>13.045999999999999</v>
      </c>
    </row>
    <row r="11" spans="1:11" s="273" customFormat="1" ht="15">
      <c r="A11" s="748"/>
      <c r="B11" s="258">
        <v>6</v>
      </c>
      <c r="C11" s="257">
        <v>6</v>
      </c>
      <c r="D11" s="275">
        <v>9</v>
      </c>
      <c r="E11" s="275">
        <v>1</v>
      </c>
      <c r="F11" s="275">
        <f t="shared" si="0"/>
        <v>9</v>
      </c>
      <c r="G11" s="276">
        <v>8.5299999999999994</v>
      </c>
      <c r="H11" s="277">
        <f t="shared" si="1"/>
        <v>76.77</v>
      </c>
      <c r="I11" s="278">
        <f t="shared" si="2"/>
        <v>0.222</v>
      </c>
      <c r="J11" s="279">
        <f t="shared" si="3"/>
        <v>17.042999999999999</v>
      </c>
      <c r="K11" s="282"/>
    </row>
    <row r="12" spans="1:11" s="273" customFormat="1" ht="15">
      <c r="A12" s="748"/>
      <c r="B12" s="258">
        <v>7</v>
      </c>
      <c r="C12" s="257" t="s">
        <v>745</v>
      </c>
      <c r="D12" s="275">
        <v>9</v>
      </c>
      <c r="E12" s="275">
        <v>1</v>
      </c>
      <c r="F12" s="275">
        <f t="shared" si="0"/>
        <v>9</v>
      </c>
      <c r="G12" s="276">
        <v>0.04</v>
      </c>
      <c r="H12" s="277">
        <f t="shared" si="1"/>
        <v>0.36</v>
      </c>
      <c r="I12" s="277">
        <f>ROUND(7850*0.046*3.1416*0.006,3)</f>
        <v>6.8070000000000004</v>
      </c>
      <c r="J12" s="279">
        <f t="shared" si="3"/>
        <v>2.4510000000000001</v>
      </c>
    </row>
    <row r="13" spans="1:11" s="273" customFormat="1" ht="15">
      <c r="A13" s="748"/>
      <c r="B13" s="258">
        <v>8</v>
      </c>
      <c r="C13" s="257">
        <v>16</v>
      </c>
      <c r="D13" s="275">
        <v>9</v>
      </c>
      <c r="E13" s="275">
        <v>4</v>
      </c>
      <c r="F13" s="275">
        <f t="shared" si="0"/>
        <v>36</v>
      </c>
      <c r="G13" s="283">
        <v>11.7</v>
      </c>
      <c r="H13" s="277">
        <f t="shared" si="1"/>
        <v>421.2</v>
      </c>
      <c r="I13" s="278">
        <f t="shared" si="2"/>
        <v>1.5780000000000001</v>
      </c>
      <c r="J13" s="279">
        <f t="shared" si="3"/>
        <v>664.654</v>
      </c>
      <c r="K13" s="280"/>
    </row>
    <row r="14" spans="1:11" s="262" customFormat="1" ht="15">
      <c r="A14" s="261"/>
      <c r="B14" s="284"/>
      <c r="C14" s="284"/>
      <c r="D14" s="284"/>
      <c r="E14" s="284"/>
      <c r="F14" s="284"/>
      <c r="G14" s="285"/>
      <c r="H14" s="286"/>
      <c r="I14" s="287"/>
      <c r="J14" s="288"/>
    </row>
    <row r="15" spans="1:11" s="291" customFormat="1" ht="15">
      <c r="A15" s="261"/>
      <c r="B15" s="289" t="s">
        <v>473</v>
      </c>
      <c r="C15" s="284"/>
      <c r="D15" s="284"/>
      <c r="E15" s="284"/>
      <c r="F15" s="290"/>
      <c r="G15" s="285"/>
      <c r="H15" s="286"/>
      <c r="I15" s="287"/>
      <c r="K15" s="286"/>
    </row>
    <row r="16" spans="1:11" s="291" customFormat="1" ht="15">
      <c r="A16" s="261"/>
      <c r="B16" s="292" t="s">
        <v>474</v>
      </c>
      <c r="C16" s="284"/>
      <c r="D16" s="284"/>
      <c r="F16" s="293">
        <f>SUMIF($C$6:$C$13,6,$J$6:$J$13)</f>
        <v>165.89400000000001</v>
      </c>
      <c r="G16" s="294" t="s">
        <v>273</v>
      </c>
      <c r="I16" s="287"/>
      <c r="K16" s="295"/>
    </row>
    <row r="17" spans="1:11" s="291" customFormat="1" ht="15">
      <c r="A17" s="261"/>
      <c r="B17" s="292" t="s">
        <v>476</v>
      </c>
      <c r="C17" s="284"/>
      <c r="D17" s="284"/>
      <c r="F17" s="293">
        <f>SUMIF($C$6:$C$13,14,$J$6:$J$13)</f>
        <v>13.045999999999999</v>
      </c>
      <c r="G17" s="294" t="s">
        <v>273</v>
      </c>
      <c r="I17" s="287"/>
      <c r="K17" s="295"/>
    </row>
    <row r="18" spans="1:11" s="291" customFormat="1" ht="15">
      <c r="A18" s="261"/>
      <c r="B18" s="292" t="s">
        <v>741</v>
      </c>
      <c r="C18" s="284"/>
      <c r="D18" s="284"/>
      <c r="F18" s="293">
        <f>SUMIF($C$6:$C$13,16,$J$6:$J$13)</f>
        <v>664.654</v>
      </c>
      <c r="G18" s="294" t="s">
        <v>273</v>
      </c>
      <c r="I18" s="287"/>
      <c r="K18" s="295"/>
    </row>
    <row r="19" spans="1:11" s="291" customFormat="1" ht="15">
      <c r="A19" s="261"/>
      <c r="B19" s="292" t="s">
        <v>742</v>
      </c>
      <c r="C19" s="284"/>
      <c r="D19" s="284"/>
      <c r="F19" s="293">
        <f>SUMIF($C$6:$C$13,18,$J$6:$J$13)</f>
        <v>52.506999999999998</v>
      </c>
      <c r="G19" s="294" t="s">
        <v>273</v>
      </c>
      <c r="I19" s="287"/>
      <c r="K19" s="295"/>
    </row>
    <row r="20" spans="1:11" s="291" customFormat="1" ht="15">
      <c r="A20" s="261"/>
      <c r="B20" s="292" t="s">
        <v>477</v>
      </c>
      <c r="C20" s="284"/>
      <c r="D20" s="284"/>
      <c r="F20" s="293">
        <f>+J12</f>
        <v>2.4510000000000001</v>
      </c>
      <c r="G20" s="294" t="s">
        <v>273</v>
      </c>
      <c r="I20" s="287"/>
      <c r="K20" s="295"/>
    </row>
    <row r="21" spans="1:11" s="291" customFormat="1" ht="15">
      <c r="A21" s="261"/>
      <c r="B21" s="292"/>
      <c r="C21" s="284"/>
      <c r="D21" s="284"/>
      <c r="F21" s="293"/>
      <c r="G21" s="294"/>
      <c r="I21" s="287"/>
      <c r="K21" s="295"/>
    </row>
    <row r="22" spans="1:11" s="262" customFormat="1">
      <c r="A22" s="261"/>
      <c r="D22" s="260" t="s">
        <v>460</v>
      </c>
      <c r="E22" s="296"/>
      <c r="G22" s="297"/>
      <c r="H22" s="286"/>
      <c r="I22" s="260" t="s">
        <v>747</v>
      </c>
    </row>
    <row r="23" spans="1:11" s="262" customFormat="1">
      <c r="A23" s="261"/>
      <c r="B23" s="297"/>
      <c r="C23" s="296"/>
      <c r="D23" s="296"/>
      <c r="E23" s="296"/>
      <c r="F23" s="296"/>
      <c r="G23" s="296"/>
      <c r="H23" s="286"/>
      <c r="I23" s="260"/>
      <c r="J23" s="260"/>
    </row>
    <row r="24" spans="1:11" s="262" customFormat="1">
      <c r="A24" s="261"/>
      <c r="B24" s="297"/>
      <c r="C24" s="296"/>
      <c r="D24" s="296"/>
      <c r="E24" s="296"/>
      <c r="F24" s="296"/>
      <c r="G24" s="296"/>
      <c r="H24" s="286"/>
      <c r="I24" s="260"/>
      <c r="J24" s="260"/>
      <c r="K24" s="262" t="s">
        <v>475</v>
      </c>
    </row>
    <row r="25" spans="1:11" s="262" customFormat="1">
      <c r="A25" s="261"/>
      <c r="B25" s="297"/>
      <c r="C25" s="296"/>
      <c r="D25" s="296"/>
      <c r="E25" s="296"/>
      <c r="F25" s="296"/>
      <c r="G25" s="296"/>
      <c r="H25" s="286"/>
      <c r="I25" s="260"/>
      <c r="J25" s="260"/>
    </row>
    <row r="26" spans="1:11" s="262" customFormat="1">
      <c r="A26" s="261"/>
      <c r="B26" s="297"/>
      <c r="C26" s="296"/>
      <c r="D26" s="296"/>
      <c r="E26" s="296"/>
      <c r="F26" s="296"/>
      <c r="G26" s="296"/>
      <c r="H26" s="286"/>
      <c r="I26" s="260"/>
      <c r="J26" s="259"/>
    </row>
    <row r="27" spans="1:11" s="262" customFormat="1">
      <c r="A27" s="261"/>
      <c r="D27" s="297" t="s">
        <v>744</v>
      </c>
      <c r="E27" s="298"/>
      <c r="G27" s="297"/>
      <c r="H27" s="286"/>
      <c r="I27" s="260" t="s">
        <v>746</v>
      </c>
      <c r="J27" s="259"/>
    </row>
    <row r="31" spans="1:11" s="262" customFormat="1" ht="15">
      <c r="A31" s="261"/>
      <c r="B31" s="284"/>
      <c r="C31" s="284"/>
      <c r="D31" s="284"/>
      <c r="E31" s="284"/>
      <c r="F31" s="284"/>
      <c r="G31" s="285"/>
      <c r="H31" s="286"/>
      <c r="I31" s="287"/>
      <c r="J31" s="288"/>
    </row>
    <row r="32" spans="1:11"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row r="35" spans="1:10" s="262" customFormat="1" ht="15">
      <c r="A35" s="261"/>
      <c r="B35" s="284"/>
      <c r="C35" s="284"/>
      <c r="D35" s="284"/>
      <c r="E35" s="284"/>
      <c r="F35" s="284"/>
      <c r="G35" s="285"/>
      <c r="H35" s="286"/>
      <c r="I35" s="287"/>
      <c r="J35" s="288"/>
    </row>
    <row r="36" spans="1:10" s="262" customFormat="1" ht="15">
      <c r="A36" s="261"/>
      <c r="B36" s="284"/>
      <c r="C36" s="284"/>
      <c r="D36" s="284"/>
      <c r="E36" s="284"/>
      <c r="F36" s="284"/>
      <c r="G36" s="285"/>
      <c r="H36" s="286"/>
      <c r="I36" s="287"/>
      <c r="J36" s="288"/>
    </row>
  </sheetData>
  <mergeCells count="8">
    <mergeCell ref="A6:A13"/>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sheetPr>
    <tabColor rgb="FF00B050"/>
  </sheetPr>
  <dimension ref="A1:K36"/>
  <sheetViews>
    <sheetView workbookViewId="0">
      <selection activeCell="I529" sqref="I529"/>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22.5">
      <c r="A1" s="263" t="s">
        <v>738</v>
      </c>
      <c r="B1" s="264"/>
      <c r="C1" s="264"/>
      <c r="D1" s="264"/>
      <c r="E1" s="264"/>
      <c r="F1" s="264"/>
      <c r="G1" s="264"/>
      <c r="H1" s="264"/>
      <c r="I1" s="264"/>
      <c r="J1" s="265"/>
    </row>
    <row r="2" spans="1:11" s="266" customFormat="1" ht="20.25">
      <c r="A2" s="264"/>
      <c r="B2" s="264"/>
      <c r="C2" s="264"/>
      <c r="D2" s="264"/>
      <c r="E2" s="264"/>
      <c r="F2" s="392" t="s">
        <v>743</v>
      </c>
      <c r="G2" s="264"/>
      <c r="H2" s="264"/>
      <c r="I2" s="264"/>
      <c r="J2" s="265"/>
    </row>
    <row r="3" spans="1:11" ht="16.5">
      <c r="A3" s="267"/>
      <c r="I3" s="749"/>
      <c r="J3" s="749"/>
    </row>
    <row r="4" spans="1:11" s="273" customFormat="1" ht="27" customHeight="1">
      <c r="A4" s="750" t="s">
        <v>462</v>
      </c>
      <c r="B4" s="750" t="s">
        <v>463</v>
      </c>
      <c r="C4" s="750" t="s">
        <v>464</v>
      </c>
      <c r="D4" s="753" t="s">
        <v>465</v>
      </c>
      <c r="E4" s="270" t="s">
        <v>466</v>
      </c>
      <c r="F4" s="271"/>
      <c r="G4" s="272" t="s">
        <v>467</v>
      </c>
      <c r="H4" s="272"/>
      <c r="I4" s="753" t="s">
        <v>468</v>
      </c>
      <c r="J4" s="750" t="s">
        <v>469</v>
      </c>
    </row>
    <row r="5" spans="1:11" s="273" customFormat="1" ht="27" customHeight="1">
      <c r="A5" s="751"/>
      <c r="B5" s="752"/>
      <c r="C5" s="751"/>
      <c r="D5" s="754"/>
      <c r="E5" s="302" t="s">
        <v>470</v>
      </c>
      <c r="F5" s="302" t="s">
        <v>471</v>
      </c>
      <c r="G5" s="302" t="s">
        <v>472</v>
      </c>
      <c r="H5" s="302" t="s">
        <v>471</v>
      </c>
      <c r="I5" s="754"/>
      <c r="J5" s="751"/>
    </row>
    <row r="6" spans="1:11" s="273" customFormat="1" ht="15">
      <c r="A6" s="748" t="s">
        <v>739</v>
      </c>
      <c r="B6" s="301">
        <v>1</v>
      </c>
      <c r="C6" s="257">
        <v>6</v>
      </c>
      <c r="D6" s="275">
        <v>8</v>
      </c>
      <c r="E6" s="275">
        <f>ROUND(100/5+150/10+670/15+150/10,0)</f>
        <v>95</v>
      </c>
      <c r="F6" s="275">
        <f t="shared" ref="F6:F13" si="0">D6*E6</f>
        <v>760</v>
      </c>
      <c r="G6" s="276">
        <v>0.7</v>
      </c>
      <c r="H6" s="277">
        <f t="shared" ref="H6:H13" si="1">ROUND(F6*G6,3)</f>
        <v>532</v>
      </c>
      <c r="I6" s="278">
        <f t="shared" ref="I6:I13" si="2">ROUND(3.1416*(C6/1000)^2/4*7850*1,3)</f>
        <v>0.222</v>
      </c>
      <c r="J6" s="279">
        <f t="shared" ref="J6:J13" si="3">ROUND(H6*I6,3)</f>
        <v>118.104</v>
      </c>
    </row>
    <row r="7" spans="1:11" s="273" customFormat="1" ht="15">
      <c r="A7" s="748"/>
      <c r="B7" s="301">
        <v>2</v>
      </c>
      <c r="C7" s="257">
        <v>6</v>
      </c>
      <c r="D7" s="275">
        <v>8</v>
      </c>
      <c r="E7" s="275">
        <v>4</v>
      </c>
      <c r="F7" s="275">
        <f t="shared" si="0"/>
        <v>32</v>
      </c>
      <c r="G7" s="276">
        <v>0.75</v>
      </c>
      <c r="H7" s="277">
        <f t="shared" si="1"/>
        <v>24</v>
      </c>
      <c r="I7" s="278">
        <f t="shared" si="2"/>
        <v>0.222</v>
      </c>
      <c r="J7" s="279">
        <f t="shared" si="3"/>
        <v>5.3280000000000003</v>
      </c>
      <c r="K7" s="280"/>
    </row>
    <row r="8" spans="1:11" s="281" customFormat="1" ht="15">
      <c r="A8" s="748"/>
      <c r="B8" s="301">
        <v>3</v>
      </c>
      <c r="C8" s="257">
        <v>6</v>
      </c>
      <c r="D8" s="275">
        <v>8</v>
      </c>
      <c r="E8" s="275">
        <v>20</v>
      </c>
      <c r="F8" s="275">
        <f t="shared" si="0"/>
        <v>160</v>
      </c>
      <c r="G8" s="276">
        <v>0.25</v>
      </c>
      <c r="H8" s="277">
        <f t="shared" si="1"/>
        <v>40</v>
      </c>
      <c r="I8" s="278">
        <f t="shared" si="2"/>
        <v>0.222</v>
      </c>
      <c r="J8" s="279">
        <f t="shared" si="3"/>
        <v>8.8800000000000008</v>
      </c>
    </row>
    <row r="9" spans="1:11" s="273" customFormat="1" ht="15">
      <c r="A9" s="748"/>
      <c r="B9" s="301">
        <v>4</v>
      </c>
      <c r="C9" s="257">
        <v>18</v>
      </c>
      <c r="D9" s="275">
        <v>8</v>
      </c>
      <c r="E9" s="275">
        <v>2</v>
      </c>
      <c r="F9" s="275">
        <f t="shared" si="0"/>
        <v>16</v>
      </c>
      <c r="G9" s="276">
        <v>1.46</v>
      </c>
      <c r="H9" s="277">
        <f t="shared" si="1"/>
        <v>23.36</v>
      </c>
      <c r="I9" s="278">
        <f t="shared" si="2"/>
        <v>1.998</v>
      </c>
      <c r="J9" s="279">
        <f t="shared" si="3"/>
        <v>46.673000000000002</v>
      </c>
    </row>
    <row r="10" spans="1:11" s="273" customFormat="1" ht="15">
      <c r="A10" s="748"/>
      <c r="B10" s="301">
        <v>5</v>
      </c>
      <c r="C10" s="257">
        <v>14</v>
      </c>
      <c r="D10" s="275">
        <v>8</v>
      </c>
      <c r="E10" s="275">
        <v>8</v>
      </c>
      <c r="F10" s="275">
        <f t="shared" si="0"/>
        <v>64</v>
      </c>
      <c r="G10" s="276">
        <v>0.15</v>
      </c>
      <c r="H10" s="277">
        <f t="shared" si="1"/>
        <v>9.6</v>
      </c>
      <c r="I10" s="278">
        <f t="shared" si="2"/>
        <v>1.208</v>
      </c>
      <c r="J10" s="279">
        <f t="shared" si="3"/>
        <v>11.597</v>
      </c>
    </row>
    <row r="11" spans="1:11" s="273" customFormat="1" ht="15">
      <c r="A11" s="748"/>
      <c r="B11" s="301">
        <v>6</v>
      </c>
      <c r="C11" s="257">
        <v>6</v>
      </c>
      <c r="D11" s="275">
        <v>8</v>
      </c>
      <c r="E11" s="275">
        <v>1</v>
      </c>
      <c r="F11" s="275">
        <f t="shared" si="0"/>
        <v>8</v>
      </c>
      <c r="G11" s="276">
        <v>8.5299999999999994</v>
      </c>
      <c r="H11" s="277">
        <f t="shared" si="1"/>
        <v>68.239999999999995</v>
      </c>
      <c r="I11" s="278">
        <f t="shared" si="2"/>
        <v>0.222</v>
      </c>
      <c r="J11" s="279">
        <f t="shared" si="3"/>
        <v>15.148999999999999</v>
      </c>
      <c r="K11" s="282"/>
    </row>
    <row r="12" spans="1:11" s="273" customFormat="1" ht="15">
      <c r="A12" s="748"/>
      <c r="B12" s="301">
        <v>7</v>
      </c>
      <c r="C12" s="257" t="s">
        <v>745</v>
      </c>
      <c r="D12" s="275">
        <v>8</v>
      </c>
      <c r="E12" s="275">
        <v>1</v>
      </c>
      <c r="F12" s="275">
        <f t="shared" si="0"/>
        <v>8</v>
      </c>
      <c r="G12" s="276">
        <v>0.04</v>
      </c>
      <c r="H12" s="277">
        <f t="shared" si="1"/>
        <v>0.32</v>
      </c>
      <c r="I12" s="277">
        <f>ROUND(7850*0.046*3.1416*0.006,3)</f>
        <v>6.8070000000000004</v>
      </c>
      <c r="J12" s="279">
        <f t="shared" si="3"/>
        <v>2.1779999999999999</v>
      </c>
    </row>
    <row r="13" spans="1:11" s="273" customFormat="1" ht="15">
      <c r="A13" s="748"/>
      <c r="B13" s="301">
        <v>8</v>
      </c>
      <c r="C13" s="257">
        <v>16</v>
      </c>
      <c r="D13" s="275">
        <v>8</v>
      </c>
      <c r="E13" s="275">
        <v>4</v>
      </c>
      <c r="F13" s="275">
        <f t="shared" si="0"/>
        <v>32</v>
      </c>
      <c r="G13" s="283">
        <v>11.7</v>
      </c>
      <c r="H13" s="277">
        <f t="shared" si="1"/>
        <v>374.4</v>
      </c>
      <c r="I13" s="278">
        <f t="shared" si="2"/>
        <v>1.5780000000000001</v>
      </c>
      <c r="J13" s="279">
        <f t="shared" si="3"/>
        <v>590.803</v>
      </c>
      <c r="K13" s="280"/>
    </row>
    <row r="14" spans="1:11" s="262" customFormat="1" ht="15">
      <c r="A14" s="261"/>
      <c r="B14" s="284"/>
      <c r="C14" s="284"/>
      <c r="D14" s="284"/>
      <c r="E14" s="284"/>
      <c r="F14" s="284"/>
      <c r="G14" s="285"/>
      <c r="H14" s="286"/>
      <c r="I14" s="287"/>
      <c r="J14" s="288"/>
    </row>
    <row r="15" spans="1:11" s="291" customFormat="1" ht="15">
      <c r="A15" s="261"/>
      <c r="B15" s="289" t="s">
        <v>473</v>
      </c>
      <c r="C15" s="284"/>
      <c r="D15" s="284"/>
      <c r="E15" s="284"/>
      <c r="F15" s="290"/>
      <c r="G15" s="285"/>
      <c r="H15" s="286"/>
      <c r="I15" s="287"/>
      <c r="K15" s="286"/>
    </row>
    <row r="16" spans="1:11" s="291" customFormat="1" ht="15">
      <c r="A16" s="261"/>
      <c r="B16" s="292" t="s">
        <v>474</v>
      </c>
      <c r="C16" s="284"/>
      <c r="D16" s="284"/>
      <c r="F16" s="293">
        <f>SUMIF($C$6:$C$13,6,$J$6:$J$13)</f>
        <v>147.46100000000001</v>
      </c>
      <c r="G16" s="294" t="s">
        <v>273</v>
      </c>
      <c r="I16" s="287"/>
      <c r="K16" s="295"/>
    </row>
    <row r="17" spans="1:11" s="291" customFormat="1" ht="15">
      <c r="A17" s="261"/>
      <c r="B17" s="292" t="s">
        <v>476</v>
      </c>
      <c r="C17" s="284"/>
      <c r="D17" s="284"/>
      <c r="F17" s="293">
        <f>SUMIF($C$6:$C$13,14,$J$6:$J$13)</f>
        <v>11.597</v>
      </c>
      <c r="G17" s="294" t="s">
        <v>273</v>
      </c>
      <c r="I17" s="287"/>
      <c r="K17" s="295"/>
    </row>
    <row r="18" spans="1:11" s="291" customFormat="1" ht="15">
      <c r="A18" s="261"/>
      <c r="B18" s="292" t="s">
        <v>741</v>
      </c>
      <c r="C18" s="284"/>
      <c r="D18" s="284"/>
      <c r="F18" s="293">
        <f>SUMIF($C$6:$C$13,16,$J$6:$J$13)</f>
        <v>590.803</v>
      </c>
      <c r="G18" s="294" t="s">
        <v>273</v>
      </c>
      <c r="I18" s="287"/>
      <c r="K18" s="295"/>
    </row>
    <row r="19" spans="1:11" s="291" customFormat="1" ht="15">
      <c r="A19" s="261"/>
      <c r="B19" s="292" t="s">
        <v>742</v>
      </c>
      <c r="C19" s="284"/>
      <c r="D19" s="284"/>
      <c r="F19" s="293">
        <f>SUMIF($C$6:$C$13,18,$J$6:$J$13)</f>
        <v>46.673000000000002</v>
      </c>
      <c r="G19" s="294" t="s">
        <v>273</v>
      </c>
      <c r="I19" s="287"/>
      <c r="K19" s="295"/>
    </row>
    <row r="20" spans="1:11" s="291" customFormat="1" ht="15">
      <c r="A20" s="261"/>
      <c r="B20" s="292" t="s">
        <v>477</v>
      </c>
      <c r="C20" s="284"/>
      <c r="D20" s="284"/>
      <c r="F20" s="293">
        <f>+J12</f>
        <v>2.1779999999999999</v>
      </c>
      <c r="G20" s="294" t="s">
        <v>273</v>
      </c>
      <c r="I20" s="287"/>
      <c r="K20" s="295"/>
    </row>
    <row r="21" spans="1:11" s="291" customFormat="1" ht="15">
      <c r="A21" s="261"/>
      <c r="B21" s="292"/>
      <c r="C21" s="284"/>
      <c r="D21" s="284"/>
      <c r="F21" s="293"/>
      <c r="G21" s="294"/>
      <c r="I21" s="287"/>
      <c r="K21" s="295"/>
    </row>
    <row r="22" spans="1:11" s="262" customFormat="1">
      <c r="A22" s="261"/>
      <c r="D22" s="260" t="s">
        <v>460</v>
      </c>
      <c r="E22" s="296"/>
      <c r="G22" s="297"/>
      <c r="H22" s="286"/>
      <c r="I22" s="260" t="s">
        <v>747</v>
      </c>
      <c r="J22" s="288"/>
    </row>
    <row r="23" spans="1:11" s="262" customFormat="1">
      <c r="A23" s="261"/>
      <c r="B23" s="297"/>
      <c r="C23" s="296"/>
      <c r="D23" s="296"/>
      <c r="E23" s="296"/>
      <c r="F23" s="296"/>
      <c r="G23" s="296"/>
      <c r="H23" s="286"/>
      <c r="I23" s="260"/>
      <c r="J23" s="288"/>
    </row>
    <row r="24" spans="1:11" s="262" customFormat="1">
      <c r="A24" s="261"/>
      <c r="B24" s="297"/>
      <c r="C24" s="296"/>
      <c r="D24" s="296"/>
      <c r="E24" s="296"/>
      <c r="F24" s="296"/>
      <c r="G24" s="296"/>
      <c r="H24" s="286"/>
      <c r="I24" s="260"/>
      <c r="J24" s="288"/>
      <c r="K24" s="262" t="s">
        <v>475</v>
      </c>
    </row>
    <row r="25" spans="1:11" s="262" customFormat="1">
      <c r="A25" s="261"/>
      <c r="B25" s="297"/>
      <c r="C25" s="296"/>
      <c r="D25" s="296"/>
      <c r="E25" s="296"/>
      <c r="F25" s="296"/>
      <c r="G25" s="296"/>
      <c r="H25" s="286"/>
      <c r="I25" s="260"/>
      <c r="J25" s="288"/>
    </row>
    <row r="26" spans="1:11" s="262" customFormat="1">
      <c r="A26" s="261"/>
      <c r="B26" s="297"/>
      <c r="C26" s="296"/>
      <c r="D26" s="296"/>
      <c r="E26" s="296"/>
      <c r="F26" s="296"/>
      <c r="G26" s="296"/>
      <c r="H26" s="286"/>
      <c r="I26" s="260"/>
      <c r="J26" s="288"/>
    </row>
    <row r="27" spans="1:11" s="262" customFormat="1">
      <c r="A27" s="261"/>
      <c r="D27" s="297" t="s">
        <v>744</v>
      </c>
      <c r="E27" s="298"/>
      <c r="G27" s="297"/>
      <c r="H27" s="286"/>
      <c r="I27" s="260" t="s">
        <v>746</v>
      </c>
      <c r="J27" s="288"/>
    </row>
    <row r="31" spans="1:11" s="262" customFormat="1" ht="15">
      <c r="A31" s="261"/>
      <c r="B31" s="284"/>
      <c r="C31" s="284"/>
      <c r="D31" s="284"/>
      <c r="E31" s="284"/>
      <c r="F31" s="284"/>
      <c r="G31" s="285"/>
      <c r="H31" s="286"/>
      <c r="I31" s="287"/>
      <c r="J31" s="288"/>
    </row>
    <row r="32" spans="1:11" s="262" customFormat="1" ht="15">
      <c r="A32" s="261"/>
      <c r="B32" s="284"/>
      <c r="C32" s="284"/>
      <c r="D32" s="284"/>
      <c r="E32" s="284"/>
      <c r="F32" s="284"/>
      <c r="G32" s="285"/>
      <c r="H32" s="286"/>
      <c r="I32" s="287"/>
      <c r="J32" s="288"/>
    </row>
    <row r="33" spans="1:10" s="262" customFormat="1" ht="15">
      <c r="A33" s="261"/>
      <c r="B33" s="284"/>
      <c r="C33" s="284"/>
      <c r="D33" s="284"/>
      <c r="E33" s="284"/>
      <c r="F33" s="284"/>
      <c r="G33" s="285"/>
      <c r="H33" s="286"/>
      <c r="I33" s="287"/>
      <c r="J33" s="288"/>
    </row>
    <row r="34" spans="1:10" s="262" customFormat="1" ht="15">
      <c r="A34" s="261"/>
      <c r="B34" s="284"/>
      <c r="C34" s="284"/>
      <c r="D34" s="284"/>
      <c r="E34" s="284"/>
      <c r="F34" s="284"/>
      <c r="G34" s="285"/>
      <c r="H34" s="286"/>
      <c r="I34" s="287"/>
      <c r="J34" s="288"/>
    </row>
    <row r="35" spans="1:10" s="262" customFormat="1" ht="15">
      <c r="A35" s="261"/>
      <c r="B35" s="284"/>
      <c r="C35" s="284"/>
      <c r="D35" s="284"/>
      <c r="E35" s="284"/>
      <c r="F35" s="284"/>
      <c r="G35" s="285"/>
      <c r="H35" s="286"/>
      <c r="I35" s="287"/>
      <c r="J35" s="288"/>
    </row>
    <row r="36" spans="1:10" s="262" customFormat="1" ht="15">
      <c r="A36" s="261"/>
      <c r="B36" s="284"/>
      <c r="C36" s="284"/>
      <c r="D36" s="284"/>
      <c r="E36" s="284"/>
      <c r="F36" s="284"/>
      <c r="G36" s="285"/>
      <c r="H36" s="286"/>
      <c r="I36" s="287"/>
      <c r="J36" s="288"/>
    </row>
  </sheetData>
  <mergeCells count="8">
    <mergeCell ref="A6:A13"/>
    <mergeCell ref="I3:J3"/>
    <mergeCell ref="A4:A5"/>
    <mergeCell ref="B4:B5"/>
    <mergeCell ref="C4:C5"/>
    <mergeCell ref="D4:D5"/>
    <mergeCell ref="I4:I5"/>
    <mergeCell ref="J4:J5"/>
  </mergeCells>
  <pageMargins left="0.7" right="0.34"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dimension ref="A1:G17"/>
  <sheetViews>
    <sheetView workbookViewId="0">
      <selection activeCell="B16" sqref="B16"/>
    </sheetView>
  </sheetViews>
  <sheetFormatPr defaultRowHeight="15"/>
  <cols>
    <col min="2" max="2" width="20.7109375" customWidth="1"/>
  </cols>
  <sheetData>
    <row r="1" spans="1:7">
      <c r="A1" t="s">
        <v>815</v>
      </c>
    </row>
    <row r="3" spans="1:7">
      <c r="A3" s="808" t="s">
        <v>25</v>
      </c>
      <c r="B3" s="808" t="s">
        <v>455</v>
      </c>
      <c r="C3" s="808" t="s">
        <v>816</v>
      </c>
      <c r="D3" s="808" t="s">
        <v>315</v>
      </c>
      <c r="E3" s="808"/>
      <c r="F3" s="808"/>
      <c r="G3" s="808" t="s">
        <v>317</v>
      </c>
    </row>
    <row r="4" spans="1:7" ht="28.5">
      <c r="A4" s="808"/>
      <c r="B4" s="808"/>
      <c r="C4" s="808"/>
      <c r="D4" s="465" t="s">
        <v>817</v>
      </c>
      <c r="E4" s="465" t="s">
        <v>461</v>
      </c>
      <c r="F4" s="465" t="s">
        <v>818</v>
      </c>
      <c r="G4" s="808"/>
    </row>
    <row r="5" spans="1:7">
      <c r="A5">
        <v>1</v>
      </c>
      <c r="B5" t="s">
        <v>811</v>
      </c>
    </row>
    <row r="6" spans="1:7">
      <c r="B6" t="s">
        <v>833</v>
      </c>
    </row>
    <row r="7" spans="1:7">
      <c r="B7" t="s">
        <v>812</v>
      </c>
    </row>
    <row r="8" spans="1:7">
      <c r="B8" t="s">
        <v>813</v>
      </c>
    </row>
    <row r="9" spans="1:7">
      <c r="B9" t="s">
        <v>814</v>
      </c>
    </row>
    <row r="10" spans="1:7">
      <c r="B10" t="s">
        <v>819</v>
      </c>
    </row>
    <row r="11" spans="1:7">
      <c r="B11" s="489" t="s">
        <v>839</v>
      </c>
    </row>
    <row r="12" spans="1:7">
      <c r="B12" s="489" t="s">
        <v>841</v>
      </c>
    </row>
    <row r="13" spans="1:7">
      <c r="B13" s="489" t="s">
        <v>843</v>
      </c>
    </row>
    <row r="14" spans="1:7">
      <c r="B14" s="489" t="s">
        <v>844</v>
      </c>
    </row>
    <row r="15" spans="1:7">
      <c r="B15" s="489" t="s">
        <v>845</v>
      </c>
    </row>
    <row r="16" spans="1:7">
      <c r="B16" s="489" t="s">
        <v>849</v>
      </c>
    </row>
    <row r="17" spans="2:2">
      <c r="B17" s="489"/>
    </row>
  </sheetData>
  <mergeCells count="5">
    <mergeCell ref="D3:F3"/>
    <mergeCell ref="G3:G4"/>
    <mergeCell ref="A3:A4"/>
    <mergeCell ref="B3:B4"/>
    <mergeCell ref="C3:C4"/>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dimension ref="A1:K65"/>
  <sheetViews>
    <sheetView showZeros="0" workbookViewId="0">
      <selection activeCell="F25" sqref="F25"/>
    </sheetView>
  </sheetViews>
  <sheetFormatPr defaultRowHeight="15.75"/>
  <cols>
    <col min="1" max="1" width="6.28515625" style="495" customWidth="1"/>
    <col min="2" max="2" width="27.85546875" style="495" customWidth="1"/>
    <col min="3" max="3" width="7.7109375" style="495" customWidth="1"/>
    <col min="4" max="5" width="11.28515625" style="495" customWidth="1"/>
    <col min="6" max="6" width="33.5703125" style="495" customWidth="1"/>
    <col min="7" max="8" width="9.140625" style="495"/>
    <col min="9" max="9" width="14" style="495" customWidth="1"/>
    <col min="10" max="16384" width="9.140625" style="495"/>
  </cols>
  <sheetData>
    <row r="1" spans="1:9" ht="20.25">
      <c r="A1" s="811" t="s">
        <v>850</v>
      </c>
      <c r="B1" s="811"/>
      <c r="C1" s="811"/>
      <c r="D1" s="811"/>
      <c r="E1" s="811"/>
      <c r="F1" s="811"/>
      <c r="G1" s="811"/>
      <c r="H1" s="811"/>
    </row>
    <row r="3" spans="1:9" s="453" customFormat="1" ht="22.5" customHeight="1">
      <c r="A3" s="813" t="s">
        <v>855</v>
      </c>
      <c r="B3" s="815" t="s">
        <v>455</v>
      </c>
      <c r="C3" s="813" t="s">
        <v>312</v>
      </c>
      <c r="D3" s="812" t="s">
        <v>315</v>
      </c>
      <c r="E3" s="812"/>
      <c r="F3" s="815" t="s">
        <v>851</v>
      </c>
      <c r="G3" s="812" t="s">
        <v>852</v>
      </c>
      <c r="H3" s="812"/>
      <c r="I3" s="812" t="s">
        <v>317</v>
      </c>
    </row>
    <row r="4" spans="1:9" s="453" customFormat="1" ht="22.5" customHeight="1">
      <c r="A4" s="814"/>
      <c r="B4" s="816"/>
      <c r="C4" s="814"/>
      <c r="D4" s="496" t="s">
        <v>457</v>
      </c>
      <c r="E4" s="496" t="s">
        <v>461</v>
      </c>
      <c r="F4" s="816"/>
      <c r="G4" s="496" t="s">
        <v>458</v>
      </c>
      <c r="H4" s="496" t="s">
        <v>459</v>
      </c>
      <c r="I4" s="812"/>
    </row>
    <row r="5" spans="1:9" s="453" customFormat="1" ht="22.5" customHeight="1">
      <c r="A5" s="511"/>
      <c r="B5" s="507" t="s">
        <v>889</v>
      </c>
      <c r="C5" s="511"/>
      <c r="D5" s="507"/>
      <c r="E5" s="507"/>
      <c r="F5" s="507"/>
      <c r="G5" s="507"/>
      <c r="H5" s="507"/>
      <c r="I5" s="507"/>
    </row>
    <row r="6" spans="1:9" s="453" customFormat="1" ht="22.5" customHeight="1">
      <c r="A6" s="507"/>
      <c r="B6" s="507" t="s">
        <v>853</v>
      </c>
      <c r="C6" s="511"/>
      <c r="D6" s="507"/>
      <c r="E6" s="507"/>
      <c r="F6" s="507"/>
      <c r="G6" s="507"/>
      <c r="H6" s="507"/>
      <c r="I6" s="501"/>
    </row>
    <row r="7" spans="1:9" s="453" customFormat="1" ht="47.25">
      <c r="A7" s="461"/>
      <c r="B7" s="476" t="s">
        <v>520</v>
      </c>
      <c r="C7" s="455"/>
      <c r="D7" s="456"/>
      <c r="E7" s="507"/>
      <c r="F7" s="507"/>
      <c r="G7" s="507"/>
      <c r="H7" s="507"/>
      <c r="I7" s="501"/>
    </row>
    <row r="8" spans="1:9" s="453" customFormat="1" ht="47.25">
      <c r="A8" s="461">
        <v>60</v>
      </c>
      <c r="B8" s="493" t="s">
        <v>521</v>
      </c>
      <c r="C8" s="455" t="s">
        <v>70</v>
      </c>
      <c r="D8" s="518">
        <v>8.4610000000000003</v>
      </c>
      <c r="E8" s="507"/>
      <c r="F8" s="507"/>
      <c r="G8" s="507"/>
      <c r="H8" s="535">
        <f>+D8-E8</f>
        <v>8.4610000000000003</v>
      </c>
      <c r="I8" s="501"/>
    </row>
    <row r="9" spans="1:9" s="453" customFormat="1" ht="47.25">
      <c r="A9" s="461">
        <v>61</v>
      </c>
      <c r="B9" s="493" t="s">
        <v>522</v>
      </c>
      <c r="C9" s="455" t="s">
        <v>70</v>
      </c>
      <c r="D9" s="518">
        <v>8.4610000000000003</v>
      </c>
      <c r="E9" s="507"/>
      <c r="F9" s="507"/>
      <c r="G9" s="507"/>
      <c r="H9" s="535">
        <f t="shared" ref="H9:H18" si="0">+D9-E9</f>
        <v>8.4610000000000003</v>
      </c>
      <c r="I9" s="501"/>
    </row>
    <row r="10" spans="1:9" s="453" customFormat="1" ht="31.5">
      <c r="A10" s="461">
        <v>62</v>
      </c>
      <c r="B10" s="493" t="s">
        <v>523</v>
      </c>
      <c r="C10" s="455" t="s">
        <v>70</v>
      </c>
      <c r="D10" s="518">
        <v>8.4610000000000003</v>
      </c>
      <c r="E10" s="507"/>
      <c r="F10" s="507"/>
      <c r="G10" s="507"/>
      <c r="H10" s="535">
        <f t="shared" si="0"/>
        <v>8.4610000000000003</v>
      </c>
      <c r="I10" s="501"/>
    </row>
    <row r="11" spans="1:9" s="453" customFormat="1" ht="47.25">
      <c r="A11" s="461">
        <v>63</v>
      </c>
      <c r="B11" s="493" t="s">
        <v>524</v>
      </c>
      <c r="C11" s="455" t="s">
        <v>70</v>
      </c>
      <c r="D11" s="518">
        <v>8.4610000000000003</v>
      </c>
      <c r="E11" s="507"/>
      <c r="F11" s="507"/>
      <c r="G11" s="507"/>
      <c r="H11" s="535">
        <f t="shared" si="0"/>
        <v>8.4610000000000003</v>
      </c>
      <c r="I11" s="501"/>
    </row>
    <row r="12" spans="1:9" s="453" customFormat="1" ht="31.5">
      <c r="A12" s="461">
        <v>64</v>
      </c>
      <c r="B12" s="477" t="s">
        <v>385</v>
      </c>
      <c r="C12" s="455" t="s">
        <v>322</v>
      </c>
      <c r="D12" s="518">
        <v>8.4610000000000003</v>
      </c>
      <c r="E12" s="507"/>
      <c r="F12" s="507"/>
      <c r="G12" s="507"/>
      <c r="H12" s="535">
        <f t="shared" si="0"/>
        <v>8.4610000000000003</v>
      </c>
      <c r="I12" s="501"/>
    </row>
    <row r="13" spans="1:9">
      <c r="A13" s="497"/>
      <c r="B13" s="507" t="s">
        <v>854</v>
      </c>
      <c r="C13" s="497"/>
      <c r="D13" s="505"/>
      <c r="E13" s="497"/>
      <c r="F13" s="497"/>
      <c r="G13" s="497">
        <f>+E13-D13</f>
        <v>0</v>
      </c>
      <c r="H13" s="535">
        <f t="shared" si="0"/>
        <v>0</v>
      </c>
      <c r="I13" s="499"/>
    </row>
    <row r="14" spans="1:9" ht="47.25">
      <c r="A14" s="461">
        <v>71</v>
      </c>
      <c r="B14" s="493" t="s">
        <v>521</v>
      </c>
      <c r="C14" s="455" t="s">
        <v>70</v>
      </c>
      <c r="D14" s="518">
        <v>6.4020000000000001</v>
      </c>
      <c r="E14" s="497"/>
      <c r="F14" s="497"/>
      <c r="G14" s="497"/>
      <c r="H14" s="535">
        <f t="shared" si="0"/>
        <v>6.4020000000000001</v>
      </c>
      <c r="I14" s="499"/>
    </row>
    <row r="15" spans="1:9" ht="47.25">
      <c r="A15" s="461">
        <v>72</v>
      </c>
      <c r="B15" s="493" t="s">
        <v>522</v>
      </c>
      <c r="C15" s="455" t="s">
        <v>70</v>
      </c>
      <c r="D15" s="518">
        <v>6.4020000000000001</v>
      </c>
      <c r="E15" s="497"/>
      <c r="F15" s="497"/>
      <c r="G15" s="497"/>
      <c r="H15" s="535">
        <f t="shared" si="0"/>
        <v>6.4020000000000001</v>
      </c>
      <c r="I15" s="499"/>
    </row>
    <row r="16" spans="1:9" ht="31.5">
      <c r="A16" s="461">
        <v>73</v>
      </c>
      <c r="B16" s="493" t="s">
        <v>523</v>
      </c>
      <c r="C16" s="455" t="s">
        <v>70</v>
      </c>
      <c r="D16" s="518">
        <v>6.4020000000000001</v>
      </c>
      <c r="E16" s="497"/>
      <c r="F16" s="497"/>
      <c r="G16" s="497"/>
      <c r="H16" s="535">
        <f t="shared" si="0"/>
        <v>6.4020000000000001</v>
      </c>
      <c r="I16" s="499"/>
    </row>
    <row r="17" spans="1:11" ht="47.25">
      <c r="A17" s="461">
        <v>74</v>
      </c>
      <c r="B17" s="493" t="s">
        <v>524</v>
      </c>
      <c r="C17" s="455" t="s">
        <v>70</v>
      </c>
      <c r="D17" s="518">
        <v>6.4020000000000001</v>
      </c>
      <c r="E17" s="497"/>
      <c r="F17" s="497"/>
      <c r="G17" s="497"/>
      <c r="H17" s="535">
        <f t="shared" si="0"/>
        <v>6.4020000000000001</v>
      </c>
      <c r="I17" s="499"/>
    </row>
    <row r="18" spans="1:11" ht="31.5">
      <c r="A18" s="461">
        <v>75</v>
      </c>
      <c r="B18" s="477" t="s">
        <v>385</v>
      </c>
      <c r="C18" s="455" t="s">
        <v>322</v>
      </c>
      <c r="D18" s="518">
        <v>6.4020000000000001</v>
      </c>
      <c r="E18" s="497"/>
      <c r="F18" s="497"/>
      <c r="G18" s="497"/>
      <c r="H18" s="535">
        <f t="shared" si="0"/>
        <v>6.4020000000000001</v>
      </c>
      <c r="I18" s="499"/>
    </row>
    <row r="19" spans="1:11">
      <c r="A19" s="461"/>
      <c r="B19" s="507" t="s">
        <v>890</v>
      </c>
      <c r="C19" s="455"/>
      <c r="D19" s="456"/>
      <c r="E19" s="497"/>
      <c r="F19" s="497"/>
      <c r="G19" s="497"/>
      <c r="H19" s="497"/>
      <c r="I19" s="499"/>
    </row>
    <row r="20" spans="1:11">
      <c r="A20" s="461"/>
      <c r="B20" s="507" t="s">
        <v>853</v>
      </c>
      <c r="C20" s="455"/>
      <c r="D20" s="456"/>
      <c r="E20" s="497"/>
      <c r="F20" s="497"/>
      <c r="G20" s="497"/>
      <c r="H20" s="497"/>
      <c r="I20" s="499"/>
    </row>
    <row r="21" spans="1:11" s="510" customFormat="1">
      <c r="A21" s="508"/>
      <c r="B21" s="527" t="s">
        <v>880</v>
      </c>
      <c r="C21" s="508"/>
      <c r="D21" s="508"/>
      <c r="E21" s="508"/>
      <c r="F21" s="508"/>
      <c r="G21" s="508"/>
      <c r="H21" s="508"/>
      <c r="I21" s="501"/>
    </row>
    <row r="22" spans="1:11" s="470" customFormat="1">
      <c r="A22" s="480"/>
      <c r="B22" s="476" t="s">
        <v>546</v>
      </c>
      <c r="C22" s="455"/>
      <c r="D22" s="456">
        <v>0</v>
      </c>
      <c r="E22" s="479"/>
      <c r="F22" s="457">
        <f>+D22</f>
        <v>0</v>
      </c>
      <c r="G22" s="497">
        <f>+E22-D22</f>
        <v>0</v>
      </c>
      <c r="H22" s="478"/>
      <c r="I22" s="474"/>
    </row>
    <row r="23" spans="1:11" ht="31.5">
      <c r="A23" s="461">
        <v>106</v>
      </c>
      <c r="B23" s="477" t="s">
        <v>394</v>
      </c>
      <c r="C23" s="455" t="s">
        <v>504</v>
      </c>
      <c r="D23" s="518">
        <v>8.6199999999999992</v>
      </c>
      <c r="E23" s="526">
        <f>('Cốt thép tuong(Lồ Ồ) (PS)'!F66+'Cốt thép tuong(Lồ Ồ) (PS)'!F67+'Cốt thép tuong(Lồ Ồ) (PS)'!F68+'Cốt thép tuong(Lồ Ồ) (PS)'!F69)/1000</f>
        <v>8.6313689999999994</v>
      </c>
      <c r="F23" s="501" t="s">
        <v>856</v>
      </c>
      <c r="G23" s="525">
        <f>+E23-D23</f>
        <v>1.1369000000000185E-2</v>
      </c>
      <c r="H23" s="497"/>
      <c r="I23" s="499" t="s">
        <v>862</v>
      </c>
    </row>
    <row r="24" spans="1:11" s="500" customFormat="1">
      <c r="A24" s="461"/>
      <c r="B24" s="476" t="s">
        <v>526</v>
      </c>
      <c r="C24" s="455"/>
      <c r="D24" s="456">
        <v>0</v>
      </c>
      <c r="E24" s="502"/>
      <c r="F24" s="503"/>
      <c r="G24" s="531"/>
      <c r="H24" s="504"/>
      <c r="I24" s="484"/>
    </row>
    <row r="25" spans="1:11" s="500" customFormat="1" ht="47.25">
      <c r="A25" s="461">
        <v>68</v>
      </c>
      <c r="B25" s="477" t="s">
        <v>527</v>
      </c>
      <c r="C25" s="455" t="s">
        <v>324</v>
      </c>
      <c r="D25" s="518">
        <v>1.41</v>
      </c>
      <c r="E25" s="458">
        <f>10*0.06+24*3.75/100</f>
        <v>1.5</v>
      </c>
      <c r="F25" s="475" t="s">
        <v>835</v>
      </c>
      <c r="G25" s="531">
        <f>+E25-D25</f>
        <v>9.000000000000008E-2</v>
      </c>
      <c r="H25" s="504"/>
      <c r="I25" s="810" t="s">
        <v>863</v>
      </c>
    </row>
    <row r="26" spans="1:11" s="500" customFormat="1" ht="47.25">
      <c r="A26" s="461">
        <v>69</v>
      </c>
      <c r="B26" s="477" t="s">
        <v>528</v>
      </c>
      <c r="C26" s="455" t="s">
        <v>324</v>
      </c>
      <c r="D26" s="518">
        <v>0.51</v>
      </c>
      <c r="E26" s="458">
        <f>24*2.25/100</f>
        <v>0.54</v>
      </c>
      <c r="F26" s="475" t="s">
        <v>836</v>
      </c>
      <c r="G26" s="531">
        <f>+E26-D26</f>
        <v>3.0000000000000027E-2</v>
      </c>
      <c r="H26" s="504"/>
      <c r="I26" s="810"/>
    </row>
    <row r="27" spans="1:11">
      <c r="A27" s="497"/>
      <c r="B27" s="527" t="s">
        <v>881</v>
      </c>
      <c r="C27" s="497"/>
      <c r="D27" s="497"/>
      <c r="E27" s="497"/>
      <c r="F27" s="497"/>
      <c r="G27" s="497"/>
      <c r="H27" s="497"/>
      <c r="I27" s="499"/>
    </row>
    <row r="28" spans="1:11" s="510" customFormat="1">
      <c r="A28" s="508">
        <v>1</v>
      </c>
      <c r="B28" s="509" t="s">
        <v>813</v>
      </c>
      <c r="C28" s="508" t="s">
        <v>335</v>
      </c>
      <c r="D28" s="508">
        <v>0</v>
      </c>
      <c r="E28" s="526">
        <v>1</v>
      </c>
      <c r="F28" s="508" t="s">
        <v>858</v>
      </c>
      <c r="G28" s="526">
        <f>+E28-D28</f>
        <v>1</v>
      </c>
      <c r="H28" s="508"/>
      <c r="I28" s="501" t="s">
        <v>863</v>
      </c>
    </row>
    <row r="29" spans="1:11" s="530" customFormat="1" ht="31.5">
      <c r="A29" s="528">
        <v>2</v>
      </c>
      <c r="B29" s="529" t="s">
        <v>891</v>
      </c>
      <c r="C29" s="528" t="s">
        <v>195</v>
      </c>
      <c r="D29" s="528">
        <v>0</v>
      </c>
      <c r="E29" s="520">
        <f>14*0.8*4.834*2/1000</f>
        <v>0.10828159999999999</v>
      </c>
      <c r="F29" s="503" t="s">
        <v>883</v>
      </c>
      <c r="G29" s="528"/>
      <c r="H29" s="528"/>
      <c r="I29" s="503"/>
    </row>
    <row r="30" spans="1:11" s="470" customFormat="1">
      <c r="A30" s="480"/>
      <c r="B30" s="476" t="s">
        <v>580</v>
      </c>
      <c r="C30" s="455"/>
      <c r="D30" s="456">
        <v>0</v>
      </c>
      <c r="E30" s="479"/>
      <c r="F30" s="457">
        <v>0</v>
      </c>
      <c r="G30" s="459">
        <f t="shared" ref="G30" si="1">ROUND(MIN(F30,D30),3)</f>
        <v>0</v>
      </c>
      <c r="H30" s="478"/>
      <c r="I30" s="474"/>
      <c r="J30" s="471"/>
    </row>
    <row r="31" spans="1:11" s="500" customFormat="1" ht="31.5">
      <c r="A31" s="461">
        <v>3</v>
      </c>
      <c r="B31" s="477" t="s">
        <v>352</v>
      </c>
      <c r="C31" s="455" t="s">
        <v>324</v>
      </c>
      <c r="D31" s="504"/>
      <c r="E31" s="520">
        <f>+(13+6.5)*2*8*3*4.5/100</f>
        <v>42.12</v>
      </c>
      <c r="F31" s="484" t="s">
        <v>885</v>
      </c>
      <c r="G31" s="532">
        <f>+E31-D31</f>
        <v>42.12</v>
      </c>
      <c r="H31" s="504"/>
      <c r="I31" s="484"/>
      <c r="K31" s="520">
        <f>+(13)*2*8*3*4.5/100</f>
        <v>28.08</v>
      </c>
    </row>
    <row r="32" spans="1:11">
      <c r="A32" s="497">
        <v>4</v>
      </c>
      <c r="B32" s="533" t="s">
        <v>887</v>
      </c>
      <c r="C32" s="497" t="s">
        <v>888</v>
      </c>
      <c r="D32" s="497"/>
      <c r="E32" s="537">
        <v>1</v>
      </c>
      <c r="F32" s="497" t="s">
        <v>892</v>
      </c>
      <c r="G32" s="537">
        <f t="shared" ref="G32" si="2">+E32-D32</f>
        <v>1</v>
      </c>
      <c r="H32" s="497"/>
      <c r="I32" s="499"/>
    </row>
    <row r="33" spans="1:10">
      <c r="A33" s="497"/>
      <c r="B33" s="507" t="s">
        <v>854</v>
      </c>
      <c r="C33" s="497"/>
      <c r="D33" s="497"/>
      <c r="E33" s="497"/>
      <c r="F33" s="497"/>
      <c r="G33" s="497">
        <f t="shared" ref="G33" si="3">+E33-D33</f>
        <v>0</v>
      </c>
      <c r="H33" s="497"/>
      <c r="I33" s="499"/>
    </row>
    <row r="34" spans="1:10" s="470" customFormat="1">
      <c r="A34" s="480"/>
      <c r="B34" s="476" t="s">
        <v>546</v>
      </c>
      <c r="C34" s="455"/>
      <c r="D34" s="456">
        <v>0</v>
      </c>
      <c r="E34" s="479"/>
      <c r="F34" s="457">
        <f>+D34</f>
        <v>0</v>
      </c>
      <c r="G34" s="497">
        <f t="shared" ref="G34:G65" si="4">+E34-D34</f>
        <v>0</v>
      </c>
      <c r="H34" s="478"/>
      <c r="I34" s="474"/>
    </row>
    <row r="35" spans="1:10" ht="31.5">
      <c r="A35" s="461">
        <v>90</v>
      </c>
      <c r="B35" s="477" t="s">
        <v>394</v>
      </c>
      <c r="C35" s="455" t="s">
        <v>504</v>
      </c>
      <c r="D35" s="518">
        <v>7.1639999999999997</v>
      </c>
      <c r="E35" s="525">
        <f>('Cốt thép tuong(Rạch Miễu) (PS)'!F60+'Cốt thép tuong(Rạch Miễu) (PS)'!F61+'Cốt thép tuong(Rạch Miễu) (PS)'!F62+'Cốt thép tuong(Rạch Miễu) (PS)'!F63)/1000</f>
        <v>7.3307510000000002</v>
      </c>
      <c r="F35" s="501" t="s">
        <v>856</v>
      </c>
      <c r="G35" s="526">
        <f t="shared" si="4"/>
        <v>0.16675100000000054</v>
      </c>
      <c r="H35" s="497"/>
      <c r="I35" s="499" t="s">
        <v>862</v>
      </c>
    </row>
    <row r="36" spans="1:10" s="452" customFormat="1">
      <c r="A36" s="505"/>
      <c r="B36" s="476" t="s">
        <v>549</v>
      </c>
      <c r="C36" s="505"/>
      <c r="D36" s="505"/>
      <c r="E36" s="505"/>
      <c r="F36" s="505"/>
      <c r="G36" s="505"/>
      <c r="H36" s="505"/>
      <c r="I36" s="499"/>
    </row>
    <row r="37" spans="1:10" s="470" customFormat="1" ht="47.25">
      <c r="A37" s="461">
        <v>96</v>
      </c>
      <c r="B37" s="477" t="s">
        <v>387</v>
      </c>
      <c r="C37" s="455" t="s">
        <v>323</v>
      </c>
      <c r="D37" s="518">
        <v>5.14</v>
      </c>
      <c r="E37" s="472">
        <f>+E38+E39</f>
        <v>10.058655</v>
      </c>
      <c r="F37" s="472"/>
      <c r="G37" s="459">
        <f>+E37-D37</f>
        <v>4.9186550000000002</v>
      </c>
      <c r="H37" s="478"/>
      <c r="I37" s="474" t="s">
        <v>879</v>
      </c>
      <c r="J37" s="471"/>
    </row>
    <row r="38" spans="1:10" s="471" customFormat="1" ht="47.25">
      <c r="A38" s="461"/>
      <c r="B38" s="485" t="s">
        <v>823</v>
      </c>
      <c r="C38" s="455"/>
      <c r="D38" s="456"/>
      <c r="E38" s="482">
        <f>(6.65*(0.3+2.07)/2*0.3+2.11*0.51*0.4+0.15*0.15/2*6.65)*2</f>
        <v>5.7386549999999996</v>
      </c>
      <c r="F38" s="482" t="s">
        <v>878</v>
      </c>
      <c r="G38" s="459"/>
      <c r="H38" s="523"/>
      <c r="I38" s="482"/>
    </row>
    <row r="39" spans="1:10" s="471" customFormat="1">
      <c r="A39" s="461"/>
      <c r="B39" s="485" t="s">
        <v>824</v>
      </c>
      <c r="C39" s="455"/>
      <c r="D39" s="456"/>
      <c r="E39" s="482">
        <f>3*1.8*0.4*2</f>
        <v>4.32</v>
      </c>
      <c r="F39" s="482" t="s">
        <v>838</v>
      </c>
      <c r="G39" s="459"/>
      <c r="H39" s="523"/>
      <c r="I39" s="482"/>
      <c r="J39" s="473"/>
    </row>
    <row r="40" spans="1:10" s="470" customFormat="1" ht="63">
      <c r="A40" s="461">
        <v>97</v>
      </c>
      <c r="B40" s="477" t="s">
        <v>393</v>
      </c>
      <c r="C40" s="455" t="s">
        <v>323</v>
      </c>
      <c r="D40" s="518">
        <v>16.010000000000002</v>
      </c>
      <c r="E40" s="472">
        <f>+E41+E42</f>
        <v>18.1965</v>
      </c>
      <c r="F40" s="458"/>
      <c r="G40" s="459">
        <f>+E40-D40</f>
        <v>2.1864999999999988</v>
      </c>
      <c r="H40" s="478"/>
      <c r="I40" s="474"/>
      <c r="J40" s="471"/>
    </row>
    <row r="41" spans="1:10" s="470" customFormat="1" ht="31.5">
      <c r="A41" s="461"/>
      <c r="B41" s="485" t="s">
        <v>823</v>
      </c>
      <c r="C41" s="455"/>
      <c r="D41" s="456"/>
      <c r="E41" s="482">
        <f>(5.65*(1.3+3.6)/2*0.3 + 0.3*1.35*3.6)*2</f>
        <v>11.221500000000001</v>
      </c>
      <c r="F41" s="482" t="s">
        <v>877</v>
      </c>
      <c r="G41" s="479"/>
      <c r="H41" s="478"/>
      <c r="I41" s="809" t="s">
        <v>867</v>
      </c>
      <c r="J41" s="471"/>
    </row>
    <row r="42" spans="1:10" s="470" customFormat="1" ht="47.25">
      <c r="A42" s="461"/>
      <c r="B42" s="485" t="s">
        <v>824</v>
      </c>
      <c r="C42" s="455"/>
      <c r="D42" s="456"/>
      <c r="E42" s="457">
        <f>(2.5*3*0.3+1.7*2.5/2*0.3+2.5*0.8*0.3)*2</f>
        <v>6.9750000000000005</v>
      </c>
      <c r="F42" s="482" t="s">
        <v>861</v>
      </c>
      <c r="G42" s="479"/>
      <c r="H42" s="478"/>
      <c r="I42" s="809"/>
      <c r="J42" s="471"/>
    </row>
    <row r="43" spans="1:10" s="470" customFormat="1" ht="47.25">
      <c r="A43" s="461">
        <v>98</v>
      </c>
      <c r="B43" s="477" t="s">
        <v>388</v>
      </c>
      <c r="C43" s="455" t="s">
        <v>326</v>
      </c>
      <c r="D43" s="456">
        <v>21.678999999999998</v>
      </c>
      <c r="E43" s="458">
        <f>(E40+E37)*1.025</f>
        <v>28.961533875000001</v>
      </c>
      <c r="F43" s="483" t="s">
        <v>876</v>
      </c>
      <c r="G43" s="458"/>
      <c r="H43" s="478"/>
      <c r="I43" s="474"/>
      <c r="J43" s="534"/>
    </row>
    <row r="44" spans="1:10" s="470" customFormat="1" ht="31.5">
      <c r="A44" s="461">
        <v>100</v>
      </c>
      <c r="B44" s="477" t="s">
        <v>352</v>
      </c>
      <c r="C44" s="455" t="s">
        <v>324</v>
      </c>
      <c r="D44" s="518">
        <v>14.445</v>
      </c>
      <c r="E44" s="472">
        <f>+SUM(E45:E46)</f>
        <v>30.649050000000003</v>
      </c>
      <c r="F44" s="472"/>
      <c r="G44" s="459">
        <f>+E44-D44</f>
        <v>16.204050000000002</v>
      </c>
      <c r="H44" s="486">
        <f>+H58+H57</f>
        <v>0</v>
      </c>
      <c r="I44" s="474" t="s">
        <v>875</v>
      </c>
      <c r="J44" s="471"/>
    </row>
    <row r="45" spans="1:10" s="471" customFormat="1" ht="63">
      <c r="A45" s="461"/>
      <c r="B45" s="485" t="s">
        <v>823</v>
      </c>
      <c r="C45" s="455"/>
      <c r="D45" s="456"/>
      <c r="E45" s="460">
        <f>+(6.61*0.92+1.17*1+2.11*0.46)*25*2*4.5/100</f>
        <v>18.49905</v>
      </c>
      <c r="F45" s="482" t="s">
        <v>874</v>
      </c>
      <c r="G45" s="459"/>
      <c r="H45" s="523"/>
      <c r="I45" s="536"/>
    </row>
    <row r="46" spans="1:10" s="471" customFormat="1" ht="47.25">
      <c r="A46" s="461"/>
      <c r="B46" s="485" t="s">
        <v>824</v>
      </c>
      <c r="C46" s="455"/>
      <c r="D46" s="456"/>
      <c r="E46" s="482">
        <f>+(3*1.8)*2*25*4.5/100</f>
        <v>12.15</v>
      </c>
      <c r="F46" s="482" t="s">
        <v>840</v>
      </c>
      <c r="G46" s="459"/>
      <c r="H46" s="523"/>
      <c r="I46" s="536"/>
    </row>
    <row r="47" spans="1:10" s="500" customFormat="1" ht="31.5">
      <c r="A47" s="461">
        <v>103</v>
      </c>
      <c r="B47" s="477" t="s">
        <v>390</v>
      </c>
      <c r="C47" s="455" t="s">
        <v>504</v>
      </c>
      <c r="D47" s="518">
        <v>0.68100000000000005</v>
      </c>
      <c r="E47" s="520">
        <f>+SUM(E48:E50)</f>
        <v>0.7098310000000001</v>
      </c>
      <c r="F47" s="504"/>
      <c r="G47" s="522">
        <f>+E47-D47</f>
        <v>2.8831000000000051E-2</v>
      </c>
      <c r="H47" s="504"/>
      <c r="I47" s="499" t="s">
        <v>862</v>
      </c>
    </row>
    <row r="48" spans="1:10" s="500" customFormat="1" ht="31.5">
      <c r="A48" s="504"/>
      <c r="B48" s="485"/>
      <c r="C48" s="504"/>
      <c r="D48" s="504"/>
      <c r="E48" s="506">
        <f>+'Cthép đáy tuong canh(RM)ps'!F20/1000</f>
        <v>0.14623599999999998</v>
      </c>
      <c r="F48" s="481" t="s">
        <v>798</v>
      </c>
      <c r="G48" s="504"/>
      <c r="H48" s="504"/>
      <c r="I48" s="484"/>
    </row>
    <row r="49" spans="1:10" s="500" customFormat="1" ht="31.5">
      <c r="A49" s="504"/>
      <c r="B49" s="485"/>
      <c r="C49" s="504"/>
      <c r="D49" s="504"/>
      <c r="E49" s="506">
        <f>+'Cthép đáy tuong canh(RM)ps'!F21/1000</f>
        <v>0.15704200000000004</v>
      </c>
      <c r="F49" s="481" t="s">
        <v>808</v>
      </c>
      <c r="G49" s="504"/>
      <c r="H49" s="504"/>
      <c r="I49" s="484"/>
    </row>
    <row r="50" spans="1:10" s="500" customFormat="1" ht="31.5">
      <c r="A50" s="504"/>
      <c r="B50" s="485"/>
      <c r="C50" s="504"/>
      <c r="D50" s="504"/>
      <c r="E50" s="506">
        <f>+'Cthép đáy tuong canh(RM)ps'!F22/1000</f>
        <v>0.406553</v>
      </c>
      <c r="F50" s="481" t="s">
        <v>797</v>
      </c>
      <c r="G50" s="504"/>
      <c r="H50" s="504"/>
      <c r="I50" s="484"/>
    </row>
    <row r="51" spans="1:10" s="500" customFormat="1" ht="31.5" customHeight="1">
      <c r="A51" s="461">
        <v>104</v>
      </c>
      <c r="B51" s="477" t="s">
        <v>609</v>
      </c>
      <c r="C51" s="455" t="s">
        <v>504</v>
      </c>
      <c r="D51" s="518">
        <v>0.19800000000000001</v>
      </c>
      <c r="E51" s="519">
        <f>+'Cthép tuong canh(RM)ps'!F20/1000</f>
        <v>0.222243</v>
      </c>
      <c r="F51" s="481" t="s">
        <v>871</v>
      </c>
      <c r="G51" s="521">
        <f>+E51-D51</f>
        <v>2.4242999999999987E-2</v>
      </c>
      <c r="H51" s="504"/>
      <c r="I51" s="474" t="s">
        <v>867</v>
      </c>
    </row>
    <row r="52" spans="1:10" s="470" customFormat="1" ht="78.75">
      <c r="A52" s="461">
        <v>105</v>
      </c>
      <c r="B52" s="477" t="s">
        <v>610</v>
      </c>
      <c r="C52" s="455" t="s">
        <v>504</v>
      </c>
      <c r="D52" s="518">
        <v>1.056</v>
      </c>
      <c r="E52" s="520">
        <f>+SUM(E53:E55)</f>
        <v>1.1994669999999998</v>
      </c>
      <c r="F52" s="457"/>
      <c r="G52" s="459">
        <f>+E52-D52</f>
        <v>0.14346699999999979</v>
      </c>
      <c r="H52" s="478"/>
      <c r="I52" s="474" t="s">
        <v>867</v>
      </c>
      <c r="J52" s="471"/>
    </row>
    <row r="53" spans="1:10" s="470" customFormat="1" ht="31.5">
      <c r="A53" s="461"/>
      <c r="B53" s="477"/>
      <c r="C53" s="455"/>
      <c r="D53" s="456"/>
      <c r="E53" s="490">
        <f>+'Cthép tuong canh(RM)ps'!F21/1000</f>
        <v>0.54494699999999996</v>
      </c>
      <c r="F53" s="481" t="s">
        <v>868</v>
      </c>
      <c r="G53" s="459"/>
      <c r="H53" s="478"/>
      <c r="I53" s="474"/>
      <c r="J53" s="471"/>
    </row>
    <row r="54" spans="1:10" s="470" customFormat="1" ht="31.5">
      <c r="A54" s="461"/>
      <c r="B54" s="477"/>
      <c r="C54" s="455"/>
      <c r="D54" s="456"/>
      <c r="E54" s="490">
        <f>+'Cthép tuong canh(RM)ps'!F22/1000</f>
        <v>0.19857600000000003</v>
      </c>
      <c r="F54" s="481" t="s">
        <v>869</v>
      </c>
      <c r="G54" s="459"/>
      <c r="H54" s="478"/>
      <c r="I54" s="474"/>
      <c r="J54" s="471"/>
    </row>
    <row r="55" spans="1:10" s="470" customFormat="1" ht="31.5">
      <c r="A55" s="461"/>
      <c r="B55" s="477"/>
      <c r="C55" s="455"/>
      <c r="D55" s="456"/>
      <c r="E55" s="490">
        <f>+'Cthép tuong canh(RM)ps'!F23/1000</f>
        <v>0.45594400000000002</v>
      </c>
      <c r="F55" s="481" t="s">
        <v>870</v>
      </c>
      <c r="G55" s="459"/>
      <c r="H55" s="478"/>
      <c r="I55" s="474"/>
      <c r="J55" s="471"/>
    </row>
    <row r="56" spans="1:10" s="470" customFormat="1" ht="78.75">
      <c r="A56" s="461">
        <v>107</v>
      </c>
      <c r="B56" s="477" t="s">
        <v>395</v>
      </c>
      <c r="C56" s="455" t="s">
        <v>67</v>
      </c>
      <c r="D56" s="518">
        <v>1.0760000000000001</v>
      </c>
      <c r="E56" s="520">
        <f>+SUM(E57:E58)</f>
        <v>1.2326000000000001</v>
      </c>
      <c r="F56" s="457"/>
      <c r="G56" s="459">
        <f>+E56-D56</f>
        <v>0.15660000000000007</v>
      </c>
      <c r="H56" s="478"/>
      <c r="I56" s="474" t="s">
        <v>867</v>
      </c>
      <c r="J56" s="471"/>
    </row>
    <row r="57" spans="1:10" s="500" customFormat="1" ht="47.25">
      <c r="A57" s="504"/>
      <c r="B57" s="524" t="s">
        <v>823</v>
      </c>
      <c r="C57" s="504"/>
      <c r="D57" s="504"/>
      <c r="E57" s="482">
        <f>((5.5*(1.3+3.6)/2 + 1.5*3.6)*2+1.3*0.3)*2/100</f>
        <v>0.76280000000000003</v>
      </c>
      <c r="F57" s="482" t="s">
        <v>872</v>
      </c>
      <c r="G57" s="504"/>
      <c r="H57" s="504"/>
      <c r="I57" s="484"/>
    </row>
    <row r="58" spans="1:10" s="500" customFormat="1" ht="47.25">
      <c r="A58" s="504"/>
      <c r="B58" s="524" t="s">
        <v>824</v>
      </c>
      <c r="C58" s="504"/>
      <c r="D58" s="504"/>
      <c r="E58" s="457">
        <f>((2.5*3+1.7*2.5/2+2.5*0.8)*2+0.8*0.3)*2/100</f>
        <v>0.4698</v>
      </c>
      <c r="F58" s="482" t="s">
        <v>873</v>
      </c>
      <c r="G58" s="504"/>
      <c r="H58" s="504"/>
      <c r="I58" s="484"/>
    </row>
    <row r="59" spans="1:10" s="470" customFormat="1">
      <c r="A59" s="494"/>
      <c r="B59" s="476" t="s">
        <v>580</v>
      </c>
      <c r="C59" s="487" t="s">
        <v>318</v>
      </c>
      <c r="D59" s="456">
        <v>0</v>
      </c>
      <c r="E59" s="479"/>
      <c r="F59" s="479">
        <v>0</v>
      </c>
      <c r="G59" s="459">
        <f t="shared" ref="G59" si="5">ROUND(MIN(F59,D59),3)</f>
        <v>0</v>
      </c>
      <c r="H59" s="478"/>
      <c r="I59" s="474"/>
      <c r="J59" s="471"/>
    </row>
    <row r="60" spans="1:10" s="500" customFormat="1" ht="31.5">
      <c r="A60" s="461">
        <v>161</v>
      </c>
      <c r="B60" s="477" t="s">
        <v>441</v>
      </c>
      <c r="C60" s="455" t="s">
        <v>614</v>
      </c>
      <c r="D60" s="518">
        <v>14</v>
      </c>
      <c r="E60" s="520">
        <f>2*12</f>
        <v>24</v>
      </c>
      <c r="F60" s="528" t="s">
        <v>884</v>
      </c>
      <c r="G60" s="520">
        <f>+E60-D60</f>
        <v>10</v>
      </c>
      <c r="H60" s="504"/>
      <c r="I60" s="484" t="s">
        <v>879</v>
      </c>
    </row>
    <row r="61" spans="1:10" ht="31.5">
      <c r="A61" s="461">
        <v>169</v>
      </c>
      <c r="B61" s="477" t="s">
        <v>615</v>
      </c>
      <c r="C61" s="455" t="s">
        <v>324</v>
      </c>
      <c r="D61" s="518">
        <v>12.555</v>
      </c>
      <c r="E61" s="520">
        <f>+(13+2)*2*8*3*4.5/100</f>
        <v>32.4</v>
      </c>
      <c r="F61" s="484" t="s">
        <v>886</v>
      </c>
      <c r="G61" s="505">
        <f t="shared" si="4"/>
        <v>19.844999999999999</v>
      </c>
      <c r="H61" s="497"/>
      <c r="I61" s="484" t="s">
        <v>879</v>
      </c>
    </row>
    <row r="62" spans="1:10">
      <c r="A62" s="497"/>
      <c r="B62" s="527" t="s">
        <v>881</v>
      </c>
      <c r="C62" s="497"/>
      <c r="D62" s="497"/>
      <c r="E62" s="497"/>
      <c r="F62" s="497"/>
      <c r="G62" s="497"/>
      <c r="H62" s="497"/>
      <c r="I62" s="499"/>
    </row>
    <row r="63" spans="1:10" s="510" customFormat="1">
      <c r="A63" s="508">
        <v>1</v>
      </c>
      <c r="B63" s="509" t="s">
        <v>813</v>
      </c>
      <c r="C63" s="508" t="s">
        <v>335</v>
      </c>
      <c r="D63" s="508">
        <v>0</v>
      </c>
      <c r="E63" s="526">
        <v>1</v>
      </c>
      <c r="F63" s="508" t="s">
        <v>858</v>
      </c>
      <c r="G63" s="526">
        <f>+E63-D63</f>
        <v>1</v>
      </c>
      <c r="H63" s="508"/>
      <c r="I63" s="501"/>
    </row>
    <row r="64" spans="1:10" s="530" customFormat="1" ht="31.5">
      <c r="A64" s="528">
        <v>2</v>
      </c>
      <c r="B64" s="529" t="s">
        <v>891</v>
      </c>
      <c r="C64" s="528" t="s">
        <v>195</v>
      </c>
      <c r="D64" s="528">
        <v>0</v>
      </c>
      <c r="E64" s="520">
        <f>12*0.8*4.834*2/1000</f>
        <v>9.2812800000000015E-2</v>
      </c>
      <c r="F64" s="503" t="s">
        <v>882</v>
      </c>
      <c r="G64" s="526">
        <f>+E64-D64</f>
        <v>9.2812800000000015E-2</v>
      </c>
      <c r="H64" s="528"/>
      <c r="I64" s="503"/>
    </row>
    <row r="65" spans="1:9">
      <c r="A65" s="497">
        <v>3</v>
      </c>
      <c r="B65" s="533" t="s">
        <v>887</v>
      </c>
      <c r="C65" s="497" t="s">
        <v>888</v>
      </c>
      <c r="D65" s="497"/>
      <c r="E65" s="537">
        <v>1</v>
      </c>
      <c r="F65" s="497" t="s">
        <v>892</v>
      </c>
      <c r="G65" s="537">
        <f t="shared" si="4"/>
        <v>1</v>
      </c>
      <c r="H65" s="497"/>
      <c r="I65" s="497"/>
    </row>
  </sheetData>
  <mergeCells count="10">
    <mergeCell ref="I41:I42"/>
    <mergeCell ref="I25:I26"/>
    <mergeCell ref="A1:H1"/>
    <mergeCell ref="I3:I4"/>
    <mergeCell ref="D3:E3"/>
    <mergeCell ref="G3:H3"/>
    <mergeCell ref="A3:A4"/>
    <mergeCell ref="B3:B4"/>
    <mergeCell ref="C3:C4"/>
    <mergeCell ref="F3:F4"/>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sheetPr>
    <tabColor rgb="FFFFFF00"/>
  </sheetPr>
  <dimension ref="A1:K79"/>
  <sheetViews>
    <sheetView workbookViewId="0">
      <selection activeCell="F20" sqref="F20"/>
    </sheetView>
  </sheetViews>
  <sheetFormatPr defaultRowHeight="15.75"/>
  <cols>
    <col min="1" max="1" width="7" style="269" customWidth="1"/>
    <col min="2" max="2" width="7.285156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1" s="266" customFormat="1" ht="22.5">
      <c r="A1" s="263" t="s">
        <v>799</v>
      </c>
      <c r="B1" s="264"/>
      <c r="C1" s="264"/>
      <c r="D1" s="264"/>
      <c r="E1" s="264"/>
      <c r="F1" s="264"/>
      <c r="G1" s="264"/>
      <c r="H1" s="264"/>
      <c r="I1" s="264"/>
      <c r="J1" s="265"/>
    </row>
    <row r="2" spans="1:11" s="266" customFormat="1" ht="20.25">
      <c r="A2" s="264"/>
      <c r="B2" s="264"/>
      <c r="C2" s="264"/>
      <c r="D2" s="264"/>
      <c r="E2" s="264"/>
      <c r="F2" s="392" t="s">
        <v>743</v>
      </c>
      <c r="G2" s="264"/>
      <c r="H2" s="264"/>
      <c r="I2" s="264"/>
      <c r="J2" s="265"/>
    </row>
    <row r="3" spans="1:11" ht="16.5">
      <c r="A3" s="267"/>
      <c r="I3" s="749"/>
      <c r="J3" s="749"/>
    </row>
    <row r="4" spans="1:11" s="273" customFormat="1" ht="14.25">
      <c r="A4" s="750" t="s">
        <v>462</v>
      </c>
      <c r="B4" s="750" t="s">
        <v>463</v>
      </c>
      <c r="C4" s="750" t="s">
        <v>464</v>
      </c>
      <c r="D4" s="753" t="s">
        <v>465</v>
      </c>
      <c r="E4" s="270" t="s">
        <v>466</v>
      </c>
      <c r="F4" s="271"/>
      <c r="G4" s="272" t="s">
        <v>467</v>
      </c>
      <c r="H4" s="272"/>
      <c r="I4" s="753" t="s">
        <v>468</v>
      </c>
      <c r="J4" s="750" t="s">
        <v>469</v>
      </c>
    </row>
    <row r="5" spans="1:11" s="273" customFormat="1" ht="30" customHeight="1">
      <c r="A5" s="751"/>
      <c r="B5" s="752"/>
      <c r="C5" s="751"/>
      <c r="D5" s="754"/>
      <c r="E5" s="491" t="s">
        <v>470</v>
      </c>
      <c r="F5" s="491" t="s">
        <v>471</v>
      </c>
      <c r="G5" s="491" t="s">
        <v>472</v>
      </c>
      <c r="H5" s="491" t="s">
        <v>471</v>
      </c>
      <c r="I5" s="754"/>
      <c r="J5" s="751"/>
    </row>
    <row r="6" spans="1:11" s="273" customFormat="1" ht="15" customHeight="1">
      <c r="A6" s="817" t="s">
        <v>757</v>
      </c>
      <c r="B6" s="301">
        <v>19</v>
      </c>
      <c r="C6" s="463">
        <v>18</v>
      </c>
      <c r="D6" s="275">
        <v>1</v>
      </c>
      <c r="E6" s="464">
        <v>4</v>
      </c>
      <c r="F6" s="275">
        <f t="shared" ref="F6:F57" si="0">D6*E6</f>
        <v>4</v>
      </c>
      <c r="G6" s="276">
        <v>5</v>
      </c>
      <c r="H6" s="277">
        <f t="shared" ref="H6:H57" si="1">ROUND(F6*G6,3)</f>
        <v>20</v>
      </c>
      <c r="I6" s="278">
        <f t="shared" ref="I6:I57" si="2">ROUND(3.1416*(C6/1000)^2/4*7850*1,3)</f>
        <v>1.998</v>
      </c>
      <c r="J6" s="279">
        <f t="shared" ref="J6:J57" si="3">ROUND(H6*I6,3)</f>
        <v>39.96</v>
      </c>
    </row>
    <row r="7" spans="1:11" s="273" customFormat="1" ht="15">
      <c r="A7" s="818"/>
      <c r="B7" s="301">
        <f>+B6+1</f>
        <v>20</v>
      </c>
      <c r="C7" s="463">
        <v>18</v>
      </c>
      <c r="D7" s="275">
        <v>1</v>
      </c>
      <c r="E7" s="464">
        <v>6</v>
      </c>
      <c r="F7" s="275">
        <f t="shared" si="0"/>
        <v>6</v>
      </c>
      <c r="G7" s="276">
        <v>4.93</v>
      </c>
      <c r="H7" s="277">
        <f t="shared" si="1"/>
        <v>29.58</v>
      </c>
      <c r="I7" s="278">
        <f t="shared" si="2"/>
        <v>1.998</v>
      </c>
      <c r="J7" s="279">
        <f t="shared" si="3"/>
        <v>59.100999999999999</v>
      </c>
      <c r="K7" s="280"/>
    </row>
    <row r="8" spans="1:11" s="281" customFormat="1" ht="15">
      <c r="A8" s="818"/>
      <c r="B8" s="301">
        <f t="shared" ref="B8:B55" si="4">+B7+1</f>
        <v>21</v>
      </c>
      <c r="C8" s="463">
        <v>18</v>
      </c>
      <c r="D8" s="275">
        <v>1</v>
      </c>
      <c r="E8" s="464">
        <v>30</v>
      </c>
      <c r="F8" s="275">
        <f t="shared" si="0"/>
        <v>30</v>
      </c>
      <c r="G8" s="276">
        <v>5.5</v>
      </c>
      <c r="H8" s="277">
        <f t="shared" si="1"/>
        <v>165</v>
      </c>
      <c r="I8" s="278">
        <f t="shared" si="2"/>
        <v>1.998</v>
      </c>
      <c r="J8" s="279">
        <f t="shared" si="3"/>
        <v>329.67</v>
      </c>
    </row>
    <row r="9" spans="1:11" s="273" customFormat="1" ht="15">
      <c r="A9" s="818"/>
      <c r="B9" s="301">
        <f t="shared" si="4"/>
        <v>22</v>
      </c>
      <c r="C9" s="463">
        <v>18</v>
      </c>
      <c r="D9" s="275">
        <v>1</v>
      </c>
      <c r="E9" s="464">
        <v>75</v>
      </c>
      <c r="F9" s="275">
        <f t="shared" si="0"/>
        <v>75</v>
      </c>
      <c r="G9" s="276">
        <v>6.2</v>
      </c>
      <c r="H9" s="277">
        <f t="shared" si="1"/>
        <v>465</v>
      </c>
      <c r="I9" s="278">
        <f t="shared" si="2"/>
        <v>1.998</v>
      </c>
      <c r="J9" s="279">
        <f t="shared" si="3"/>
        <v>929.07</v>
      </c>
    </row>
    <row r="10" spans="1:11" s="273" customFormat="1" ht="15">
      <c r="A10" s="818"/>
      <c r="B10" s="301" t="s">
        <v>800</v>
      </c>
      <c r="C10" s="463">
        <v>18</v>
      </c>
      <c r="D10" s="275">
        <v>1</v>
      </c>
      <c r="E10" s="464">
        <v>6</v>
      </c>
      <c r="F10" s="275">
        <f t="shared" si="0"/>
        <v>6</v>
      </c>
      <c r="G10" s="276">
        <v>5.95</v>
      </c>
      <c r="H10" s="277">
        <f t="shared" si="1"/>
        <v>35.700000000000003</v>
      </c>
      <c r="I10" s="278">
        <f t="shared" si="2"/>
        <v>1.998</v>
      </c>
      <c r="J10" s="279">
        <f t="shared" si="3"/>
        <v>71.328999999999994</v>
      </c>
    </row>
    <row r="11" spans="1:11" s="273" customFormat="1" ht="15">
      <c r="A11" s="818"/>
      <c r="B11" s="301" t="s">
        <v>801</v>
      </c>
      <c r="C11" s="463">
        <v>18</v>
      </c>
      <c r="D11" s="275">
        <v>1</v>
      </c>
      <c r="E11" s="464">
        <v>38</v>
      </c>
      <c r="F11" s="275">
        <f t="shared" si="0"/>
        <v>38</v>
      </c>
      <c r="G11" s="276">
        <v>5.7</v>
      </c>
      <c r="H11" s="277">
        <f t="shared" si="1"/>
        <v>216.6</v>
      </c>
      <c r="I11" s="278">
        <f t="shared" si="2"/>
        <v>1.998</v>
      </c>
      <c r="J11" s="279">
        <f t="shared" si="3"/>
        <v>432.767</v>
      </c>
    </row>
    <row r="12" spans="1:11" s="273" customFormat="1" ht="15">
      <c r="A12" s="818"/>
      <c r="B12" s="301">
        <v>23</v>
      </c>
      <c r="C12" s="463">
        <v>18</v>
      </c>
      <c r="D12" s="275">
        <v>1</v>
      </c>
      <c r="E12" s="464">
        <v>27</v>
      </c>
      <c r="F12" s="275">
        <f t="shared" si="0"/>
        <v>27</v>
      </c>
      <c r="G12" s="276">
        <v>4.5199999999999996</v>
      </c>
      <c r="H12" s="277">
        <f t="shared" si="1"/>
        <v>122.04</v>
      </c>
      <c r="I12" s="278">
        <f t="shared" si="2"/>
        <v>1.998</v>
      </c>
      <c r="J12" s="279">
        <f t="shared" si="3"/>
        <v>243.83600000000001</v>
      </c>
      <c r="K12" s="282"/>
    </row>
    <row r="13" spans="1:11" s="273" customFormat="1" ht="15">
      <c r="A13" s="818"/>
      <c r="B13" s="301">
        <f t="shared" si="4"/>
        <v>24</v>
      </c>
      <c r="C13" s="463">
        <v>18</v>
      </c>
      <c r="D13" s="275">
        <v>1</v>
      </c>
      <c r="E13" s="464">
        <v>4</v>
      </c>
      <c r="F13" s="275">
        <f t="shared" si="0"/>
        <v>4</v>
      </c>
      <c r="G13" s="276">
        <v>3.88</v>
      </c>
      <c r="H13" s="277">
        <f t="shared" si="1"/>
        <v>15.52</v>
      </c>
      <c r="I13" s="278">
        <f t="shared" si="2"/>
        <v>1.998</v>
      </c>
      <c r="J13" s="279">
        <f t="shared" si="3"/>
        <v>31.009</v>
      </c>
    </row>
    <row r="14" spans="1:11" s="273" customFormat="1" ht="15">
      <c r="A14" s="818"/>
      <c r="B14" s="301">
        <f t="shared" si="4"/>
        <v>25</v>
      </c>
      <c r="C14" s="463">
        <v>18</v>
      </c>
      <c r="D14" s="275">
        <v>1</v>
      </c>
      <c r="E14" s="464">
        <v>20</v>
      </c>
      <c r="F14" s="275">
        <f t="shared" si="0"/>
        <v>20</v>
      </c>
      <c r="G14" s="276">
        <v>3.9</v>
      </c>
      <c r="H14" s="277">
        <f t="shared" si="1"/>
        <v>78</v>
      </c>
      <c r="I14" s="278">
        <f t="shared" si="2"/>
        <v>1.998</v>
      </c>
      <c r="J14" s="279">
        <f t="shared" si="3"/>
        <v>155.84399999999999</v>
      </c>
    </row>
    <row r="15" spans="1:11" s="273" customFormat="1" ht="15">
      <c r="A15" s="818"/>
      <c r="B15" s="301">
        <f t="shared" si="4"/>
        <v>26</v>
      </c>
      <c r="C15" s="463">
        <v>14</v>
      </c>
      <c r="D15" s="275">
        <v>1</v>
      </c>
      <c r="E15" s="464">
        <f>7</f>
        <v>7</v>
      </c>
      <c r="F15" s="275">
        <f t="shared" si="0"/>
        <v>7</v>
      </c>
      <c r="G15" s="276">
        <v>10.37</v>
      </c>
      <c r="H15" s="277">
        <f t="shared" si="1"/>
        <v>72.59</v>
      </c>
      <c r="I15" s="278">
        <f t="shared" si="2"/>
        <v>1.208</v>
      </c>
      <c r="J15" s="279">
        <f t="shared" si="3"/>
        <v>87.688999999999993</v>
      </c>
      <c r="K15" s="273">
        <f>1.66/0.2</f>
        <v>8.2999999999999989</v>
      </c>
    </row>
    <row r="16" spans="1:11" s="273" customFormat="1" ht="15">
      <c r="A16" s="818"/>
      <c r="B16" s="301">
        <f t="shared" si="4"/>
        <v>27</v>
      </c>
      <c r="C16" s="463">
        <v>14</v>
      </c>
      <c r="D16" s="275">
        <v>1</v>
      </c>
      <c r="E16" s="464">
        <f>19</f>
        <v>19</v>
      </c>
      <c r="F16" s="275">
        <f t="shared" si="0"/>
        <v>19</v>
      </c>
      <c r="G16" s="276">
        <v>12.79</v>
      </c>
      <c r="H16" s="277">
        <f t="shared" si="1"/>
        <v>243.01</v>
      </c>
      <c r="I16" s="278">
        <f t="shared" si="2"/>
        <v>1.208</v>
      </c>
      <c r="J16" s="279">
        <f t="shared" si="3"/>
        <v>293.55599999999998</v>
      </c>
      <c r="K16" s="273">
        <f>3.6/0.2</f>
        <v>18</v>
      </c>
    </row>
    <row r="17" spans="1:11" s="273" customFormat="1" ht="15">
      <c r="A17" s="818"/>
      <c r="B17" s="301" t="s">
        <v>802</v>
      </c>
      <c r="C17" s="463">
        <v>14</v>
      </c>
      <c r="D17" s="275">
        <v>1</v>
      </c>
      <c r="E17" s="464">
        <f>24</f>
        <v>24</v>
      </c>
      <c r="F17" s="275">
        <f t="shared" si="0"/>
        <v>24</v>
      </c>
      <c r="G17" s="276">
        <v>2.84</v>
      </c>
      <c r="H17" s="277">
        <f t="shared" si="1"/>
        <v>68.16</v>
      </c>
      <c r="I17" s="278">
        <f t="shared" si="2"/>
        <v>1.208</v>
      </c>
      <c r="J17" s="279">
        <f t="shared" si="3"/>
        <v>82.337000000000003</v>
      </c>
      <c r="K17" s="273">
        <f>4.7/0.2</f>
        <v>23.5</v>
      </c>
    </row>
    <row r="18" spans="1:11" s="273" customFormat="1" ht="15">
      <c r="A18" s="818"/>
      <c r="B18" s="301" t="s">
        <v>803</v>
      </c>
      <c r="C18" s="463">
        <v>14</v>
      </c>
      <c r="D18" s="275">
        <v>1</v>
      </c>
      <c r="E18" s="464">
        <f>24</f>
        <v>24</v>
      </c>
      <c r="F18" s="275">
        <f t="shared" si="0"/>
        <v>24</v>
      </c>
      <c r="G18" s="276">
        <v>2.0499999999999998</v>
      </c>
      <c r="H18" s="277">
        <f t="shared" si="1"/>
        <v>49.2</v>
      </c>
      <c r="I18" s="278">
        <f t="shared" si="2"/>
        <v>1.208</v>
      </c>
      <c r="J18" s="279">
        <f t="shared" si="3"/>
        <v>59.433999999999997</v>
      </c>
    </row>
    <row r="19" spans="1:11" s="273" customFormat="1" ht="15">
      <c r="A19" s="818"/>
      <c r="B19" s="301">
        <v>30</v>
      </c>
      <c r="C19" s="463">
        <v>14</v>
      </c>
      <c r="D19" s="275">
        <v>1</v>
      </c>
      <c r="E19" s="464">
        <f>9</f>
        <v>9</v>
      </c>
      <c r="F19" s="275">
        <f t="shared" si="0"/>
        <v>9</v>
      </c>
      <c r="G19" s="276">
        <v>1.89</v>
      </c>
      <c r="H19" s="277">
        <f t="shared" si="1"/>
        <v>17.010000000000002</v>
      </c>
      <c r="I19" s="278">
        <f t="shared" si="2"/>
        <v>1.208</v>
      </c>
      <c r="J19" s="279">
        <f t="shared" si="3"/>
        <v>20.547999999999998</v>
      </c>
    </row>
    <row r="20" spans="1:11" s="273" customFormat="1" ht="15">
      <c r="A20" s="818"/>
      <c r="B20" s="301">
        <f t="shared" si="4"/>
        <v>31</v>
      </c>
      <c r="C20" s="463">
        <v>18</v>
      </c>
      <c r="D20" s="275">
        <v>1</v>
      </c>
      <c r="E20" s="464">
        <f>13</f>
        <v>13</v>
      </c>
      <c r="F20" s="275">
        <f t="shared" si="0"/>
        <v>13</v>
      </c>
      <c r="G20" s="276">
        <v>4.8499999999999996</v>
      </c>
      <c r="H20" s="277">
        <f t="shared" si="1"/>
        <v>63.05</v>
      </c>
      <c r="I20" s="278">
        <f t="shared" si="2"/>
        <v>1.998</v>
      </c>
      <c r="J20" s="279">
        <f t="shared" si="3"/>
        <v>125.974</v>
      </c>
    </row>
    <row r="21" spans="1:11" s="273" customFormat="1" ht="15">
      <c r="A21" s="818"/>
      <c r="B21" s="301">
        <v>33</v>
      </c>
      <c r="C21" s="463">
        <v>18</v>
      </c>
      <c r="D21" s="275">
        <v>1</v>
      </c>
      <c r="E21" s="464">
        <v>38</v>
      </c>
      <c r="F21" s="275">
        <f t="shared" si="0"/>
        <v>38</v>
      </c>
      <c r="G21" s="276">
        <v>2.6</v>
      </c>
      <c r="H21" s="277">
        <f t="shared" si="1"/>
        <v>98.8</v>
      </c>
      <c r="I21" s="278">
        <f t="shared" si="2"/>
        <v>1.998</v>
      </c>
      <c r="J21" s="279">
        <f t="shared" si="3"/>
        <v>197.40199999999999</v>
      </c>
      <c r="K21" s="273">
        <f>3.6/0.2</f>
        <v>18</v>
      </c>
    </row>
    <row r="22" spans="1:11" s="273" customFormat="1" ht="15">
      <c r="A22" s="818"/>
      <c r="B22" s="301">
        <f t="shared" si="4"/>
        <v>34</v>
      </c>
      <c r="C22" s="463">
        <v>12</v>
      </c>
      <c r="D22" s="275">
        <v>1</v>
      </c>
      <c r="E22" s="464">
        <v>4</v>
      </c>
      <c r="F22" s="275">
        <f t="shared" si="0"/>
        <v>4</v>
      </c>
      <c r="G22" s="276">
        <v>13.02</v>
      </c>
      <c r="H22" s="277">
        <f t="shared" si="1"/>
        <v>52.08</v>
      </c>
      <c r="I22" s="278">
        <f t="shared" si="2"/>
        <v>0.88800000000000001</v>
      </c>
      <c r="J22" s="279">
        <f t="shared" si="3"/>
        <v>46.247</v>
      </c>
    </row>
    <row r="23" spans="1:11" s="273" customFormat="1" ht="15">
      <c r="A23" s="818"/>
      <c r="B23" s="301">
        <f t="shared" si="4"/>
        <v>35</v>
      </c>
      <c r="C23" s="463">
        <v>12</v>
      </c>
      <c r="D23" s="275">
        <v>1</v>
      </c>
      <c r="E23" s="464">
        <v>2</v>
      </c>
      <c r="F23" s="275">
        <f t="shared" si="0"/>
        <v>2</v>
      </c>
      <c r="G23" s="276">
        <v>3.65</v>
      </c>
      <c r="H23" s="277">
        <f t="shared" si="1"/>
        <v>7.3</v>
      </c>
      <c r="I23" s="278">
        <f t="shared" si="2"/>
        <v>0.88800000000000001</v>
      </c>
      <c r="J23" s="279">
        <f t="shared" si="3"/>
        <v>6.4820000000000002</v>
      </c>
    </row>
    <row r="24" spans="1:11" s="273" customFormat="1" ht="15">
      <c r="A24" s="818"/>
      <c r="B24" s="301">
        <f t="shared" si="4"/>
        <v>36</v>
      </c>
      <c r="C24" s="463">
        <v>16</v>
      </c>
      <c r="D24" s="275">
        <v>1</v>
      </c>
      <c r="E24" s="464">
        <v>4</v>
      </c>
      <c r="F24" s="275">
        <f t="shared" si="0"/>
        <v>4</v>
      </c>
      <c r="G24" s="276">
        <v>4.4000000000000004</v>
      </c>
      <c r="H24" s="277">
        <f t="shared" si="1"/>
        <v>17.600000000000001</v>
      </c>
      <c r="I24" s="278">
        <f t="shared" si="2"/>
        <v>1.5780000000000001</v>
      </c>
      <c r="J24" s="279">
        <f t="shared" si="3"/>
        <v>27.773</v>
      </c>
    </row>
    <row r="25" spans="1:11" s="273" customFormat="1" ht="15">
      <c r="A25" s="818"/>
      <c r="B25" s="301">
        <f t="shared" si="4"/>
        <v>37</v>
      </c>
      <c r="C25" s="463">
        <v>16</v>
      </c>
      <c r="D25" s="275">
        <v>1</v>
      </c>
      <c r="E25" s="464">
        <v>6</v>
      </c>
      <c r="F25" s="275">
        <f t="shared" si="0"/>
        <v>6</v>
      </c>
      <c r="G25" s="276">
        <v>4.33</v>
      </c>
      <c r="H25" s="277">
        <f t="shared" si="1"/>
        <v>25.98</v>
      </c>
      <c r="I25" s="278">
        <f t="shared" si="2"/>
        <v>1.5780000000000001</v>
      </c>
      <c r="J25" s="279">
        <f t="shared" si="3"/>
        <v>40.996000000000002</v>
      </c>
    </row>
    <row r="26" spans="1:11" s="273" customFormat="1" ht="15">
      <c r="A26" s="818"/>
      <c r="B26" s="301">
        <f t="shared" si="4"/>
        <v>38</v>
      </c>
      <c r="C26" s="463">
        <v>16</v>
      </c>
      <c r="D26" s="275">
        <v>1</v>
      </c>
      <c r="E26" s="464">
        <v>29</v>
      </c>
      <c r="F26" s="275">
        <f t="shared" si="0"/>
        <v>29</v>
      </c>
      <c r="G26" s="276">
        <v>4.9000000000000004</v>
      </c>
      <c r="H26" s="277">
        <f t="shared" si="1"/>
        <v>142.1</v>
      </c>
      <c r="I26" s="278">
        <f t="shared" si="2"/>
        <v>1.5780000000000001</v>
      </c>
      <c r="J26" s="279">
        <f t="shared" si="3"/>
        <v>224.23400000000001</v>
      </c>
    </row>
    <row r="27" spans="1:11" s="273" customFormat="1" ht="15">
      <c r="A27" s="818"/>
      <c r="B27" s="301">
        <v>39</v>
      </c>
      <c r="C27" s="463">
        <v>16</v>
      </c>
      <c r="D27" s="275">
        <v>1</v>
      </c>
      <c r="E27" s="464">
        <v>73</v>
      </c>
      <c r="F27" s="275">
        <f t="shared" si="0"/>
        <v>73</v>
      </c>
      <c r="G27" s="276">
        <v>5.6</v>
      </c>
      <c r="H27" s="277">
        <f t="shared" si="1"/>
        <v>408.8</v>
      </c>
      <c r="I27" s="278">
        <f t="shared" si="2"/>
        <v>1.5780000000000001</v>
      </c>
      <c r="J27" s="279">
        <f t="shared" si="3"/>
        <v>645.08600000000001</v>
      </c>
    </row>
    <row r="28" spans="1:11" s="273" customFormat="1" ht="15">
      <c r="A28" s="818"/>
      <c r="B28" s="301" t="s">
        <v>759</v>
      </c>
      <c r="C28" s="463">
        <v>16</v>
      </c>
      <c r="D28" s="275">
        <v>1</v>
      </c>
      <c r="E28" s="464">
        <v>7</v>
      </c>
      <c r="F28" s="275">
        <f t="shared" si="0"/>
        <v>7</v>
      </c>
      <c r="G28" s="276">
        <v>5.37</v>
      </c>
      <c r="H28" s="277">
        <f t="shared" si="1"/>
        <v>37.590000000000003</v>
      </c>
      <c r="I28" s="278">
        <f t="shared" si="2"/>
        <v>1.5780000000000001</v>
      </c>
      <c r="J28" s="279">
        <f t="shared" si="3"/>
        <v>59.317</v>
      </c>
    </row>
    <row r="29" spans="1:11" s="273" customFormat="1" ht="15">
      <c r="A29" s="818"/>
      <c r="B29" s="301" t="s">
        <v>804</v>
      </c>
      <c r="C29" s="463">
        <v>16</v>
      </c>
      <c r="D29" s="275">
        <v>1</v>
      </c>
      <c r="E29" s="464">
        <v>42</v>
      </c>
      <c r="F29" s="275">
        <f t="shared" si="0"/>
        <v>42</v>
      </c>
      <c r="G29" s="276">
        <v>5.0999999999999996</v>
      </c>
      <c r="H29" s="277">
        <f t="shared" si="1"/>
        <v>214.2</v>
      </c>
      <c r="I29" s="278">
        <f t="shared" si="2"/>
        <v>1.5780000000000001</v>
      </c>
      <c r="J29" s="279">
        <f t="shared" si="3"/>
        <v>338.00799999999998</v>
      </c>
    </row>
    <row r="30" spans="1:11" s="273" customFormat="1" ht="15">
      <c r="A30" s="818"/>
      <c r="B30" s="301">
        <v>40</v>
      </c>
      <c r="C30" s="463">
        <v>16</v>
      </c>
      <c r="D30" s="275">
        <v>1</v>
      </c>
      <c r="E30" s="464">
        <v>27</v>
      </c>
      <c r="F30" s="275">
        <f t="shared" si="0"/>
        <v>27</v>
      </c>
      <c r="G30" s="276">
        <v>3.92</v>
      </c>
      <c r="H30" s="277">
        <f t="shared" si="1"/>
        <v>105.84</v>
      </c>
      <c r="I30" s="278">
        <f t="shared" si="2"/>
        <v>1.5780000000000001</v>
      </c>
      <c r="J30" s="279">
        <f t="shared" si="3"/>
        <v>167.01599999999999</v>
      </c>
    </row>
    <row r="31" spans="1:11" s="273" customFormat="1" ht="15">
      <c r="A31" s="818"/>
      <c r="B31" s="301">
        <f t="shared" si="4"/>
        <v>41</v>
      </c>
      <c r="C31" s="463">
        <v>16</v>
      </c>
      <c r="D31" s="275">
        <v>1</v>
      </c>
      <c r="E31" s="464">
        <v>4</v>
      </c>
      <c r="F31" s="275">
        <f t="shared" si="0"/>
        <v>4</v>
      </c>
      <c r="G31" s="276">
        <v>3.28</v>
      </c>
      <c r="H31" s="277">
        <f t="shared" si="1"/>
        <v>13.12</v>
      </c>
      <c r="I31" s="278">
        <f t="shared" si="2"/>
        <v>1.5780000000000001</v>
      </c>
      <c r="J31" s="279">
        <f t="shared" si="3"/>
        <v>20.702999999999999</v>
      </c>
    </row>
    <row r="32" spans="1:11" s="273" customFormat="1" ht="15">
      <c r="A32" s="818"/>
      <c r="B32" s="301">
        <f t="shared" si="4"/>
        <v>42</v>
      </c>
      <c r="C32" s="463">
        <v>16</v>
      </c>
      <c r="D32" s="275">
        <v>1</v>
      </c>
      <c r="E32" s="464">
        <v>23</v>
      </c>
      <c r="F32" s="275">
        <f t="shared" si="0"/>
        <v>23</v>
      </c>
      <c r="G32" s="276">
        <v>3.3</v>
      </c>
      <c r="H32" s="277">
        <f t="shared" si="1"/>
        <v>75.900000000000006</v>
      </c>
      <c r="I32" s="278">
        <f t="shared" si="2"/>
        <v>1.5780000000000001</v>
      </c>
      <c r="J32" s="279">
        <f t="shared" si="3"/>
        <v>119.77</v>
      </c>
    </row>
    <row r="33" spans="1:10" s="273" customFormat="1" ht="15">
      <c r="A33" s="818"/>
      <c r="B33" s="301">
        <f t="shared" si="4"/>
        <v>43</v>
      </c>
      <c r="C33" s="463">
        <v>12</v>
      </c>
      <c r="D33" s="275">
        <v>1</v>
      </c>
      <c r="E33" s="464">
        <v>7</v>
      </c>
      <c r="F33" s="275">
        <f t="shared" si="0"/>
        <v>7</v>
      </c>
      <c r="G33" s="276">
        <v>10.77</v>
      </c>
      <c r="H33" s="277">
        <f t="shared" si="1"/>
        <v>75.39</v>
      </c>
      <c r="I33" s="278">
        <f t="shared" si="2"/>
        <v>0.88800000000000001</v>
      </c>
      <c r="J33" s="279">
        <f t="shared" si="3"/>
        <v>66.945999999999998</v>
      </c>
    </row>
    <row r="34" spans="1:10" s="273" customFormat="1" ht="15">
      <c r="A34" s="818"/>
      <c r="B34" s="301">
        <f t="shared" si="4"/>
        <v>44</v>
      </c>
      <c r="C34" s="463">
        <v>12</v>
      </c>
      <c r="D34" s="275">
        <v>1</v>
      </c>
      <c r="E34" s="464">
        <v>36</v>
      </c>
      <c r="F34" s="275">
        <f t="shared" si="0"/>
        <v>36</v>
      </c>
      <c r="G34" s="276">
        <v>13.09</v>
      </c>
      <c r="H34" s="277">
        <f t="shared" si="1"/>
        <v>471.24</v>
      </c>
      <c r="I34" s="278">
        <f t="shared" si="2"/>
        <v>0.88800000000000001</v>
      </c>
      <c r="J34" s="279">
        <f t="shared" si="3"/>
        <v>418.46100000000001</v>
      </c>
    </row>
    <row r="35" spans="1:10" s="273" customFormat="1" ht="15">
      <c r="A35" s="818"/>
      <c r="B35" s="301">
        <f t="shared" si="4"/>
        <v>45</v>
      </c>
      <c r="C35" s="463">
        <v>12</v>
      </c>
      <c r="D35" s="275">
        <v>1</v>
      </c>
      <c r="E35" s="464">
        <v>48</v>
      </c>
      <c r="F35" s="275">
        <f t="shared" si="0"/>
        <v>48</v>
      </c>
      <c r="G35" s="276">
        <v>1.85</v>
      </c>
      <c r="H35" s="277">
        <f t="shared" si="1"/>
        <v>88.8</v>
      </c>
      <c r="I35" s="278">
        <f t="shared" si="2"/>
        <v>0.88800000000000001</v>
      </c>
      <c r="J35" s="279">
        <f t="shared" si="3"/>
        <v>78.853999999999999</v>
      </c>
    </row>
    <row r="36" spans="1:10" s="273" customFormat="1" ht="15">
      <c r="A36" s="818"/>
      <c r="B36" s="301">
        <f t="shared" si="4"/>
        <v>46</v>
      </c>
      <c r="C36" s="463">
        <v>12</v>
      </c>
      <c r="D36" s="275">
        <v>1</v>
      </c>
      <c r="E36" s="464">
        <v>48</v>
      </c>
      <c r="F36" s="275">
        <f t="shared" si="0"/>
        <v>48</v>
      </c>
      <c r="G36" s="276">
        <v>1.46</v>
      </c>
      <c r="H36" s="277">
        <f t="shared" si="1"/>
        <v>70.08</v>
      </c>
      <c r="I36" s="278">
        <f t="shared" si="2"/>
        <v>0.88800000000000001</v>
      </c>
      <c r="J36" s="279">
        <f t="shared" si="3"/>
        <v>62.231000000000002</v>
      </c>
    </row>
    <row r="37" spans="1:10" s="273" customFormat="1" ht="15">
      <c r="A37" s="818"/>
      <c r="B37" s="301">
        <f t="shared" si="4"/>
        <v>47</v>
      </c>
      <c r="C37" s="463">
        <v>12</v>
      </c>
      <c r="D37" s="275">
        <v>1</v>
      </c>
      <c r="E37" s="464">
        <v>2</v>
      </c>
      <c r="F37" s="275">
        <f t="shared" si="0"/>
        <v>2</v>
      </c>
      <c r="G37" s="276">
        <v>2</v>
      </c>
      <c r="H37" s="277">
        <f t="shared" si="1"/>
        <v>4</v>
      </c>
      <c r="I37" s="278">
        <f t="shared" si="2"/>
        <v>0.88800000000000001</v>
      </c>
      <c r="J37" s="279">
        <f t="shared" si="3"/>
        <v>3.552</v>
      </c>
    </row>
    <row r="38" spans="1:10" s="273" customFormat="1" ht="15">
      <c r="A38" s="818"/>
      <c r="B38" s="301">
        <f t="shared" si="4"/>
        <v>48</v>
      </c>
      <c r="C38" s="463">
        <v>12</v>
      </c>
      <c r="D38" s="275">
        <v>1</v>
      </c>
      <c r="E38" s="464">
        <v>10</v>
      </c>
      <c r="F38" s="275">
        <f t="shared" si="0"/>
        <v>10</v>
      </c>
      <c r="G38" s="276">
        <v>3.34</v>
      </c>
      <c r="H38" s="277">
        <f t="shared" si="1"/>
        <v>33.4</v>
      </c>
      <c r="I38" s="278">
        <f t="shared" si="2"/>
        <v>0.88800000000000001</v>
      </c>
      <c r="J38" s="279">
        <f t="shared" si="3"/>
        <v>29.658999999999999</v>
      </c>
    </row>
    <row r="39" spans="1:10" s="273" customFormat="1" ht="15">
      <c r="A39" s="818"/>
      <c r="B39" s="301">
        <f t="shared" si="4"/>
        <v>49</v>
      </c>
      <c r="C39" s="463">
        <v>12</v>
      </c>
      <c r="D39" s="275">
        <v>1</v>
      </c>
      <c r="E39" s="464">
        <v>11</v>
      </c>
      <c r="F39" s="275">
        <f t="shared" si="0"/>
        <v>11</v>
      </c>
      <c r="G39" s="276">
        <v>6.94</v>
      </c>
      <c r="H39" s="277">
        <f t="shared" si="1"/>
        <v>76.34</v>
      </c>
      <c r="I39" s="278">
        <f t="shared" si="2"/>
        <v>0.88800000000000001</v>
      </c>
      <c r="J39" s="279">
        <f t="shared" si="3"/>
        <v>67.790000000000006</v>
      </c>
    </row>
    <row r="40" spans="1:10" s="273" customFormat="1" ht="15">
      <c r="A40" s="818"/>
      <c r="B40" s="301">
        <f t="shared" si="4"/>
        <v>50</v>
      </c>
      <c r="C40" s="463">
        <v>14</v>
      </c>
      <c r="D40" s="275">
        <v>1</v>
      </c>
      <c r="E40" s="464">
        <v>19</v>
      </c>
      <c r="F40" s="275">
        <f t="shared" si="0"/>
        <v>19</v>
      </c>
      <c r="G40" s="276">
        <v>13.2</v>
      </c>
      <c r="H40" s="277">
        <f t="shared" si="1"/>
        <v>250.8</v>
      </c>
      <c r="I40" s="278">
        <f t="shared" si="2"/>
        <v>1.208</v>
      </c>
      <c r="J40" s="279">
        <f t="shared" si="3"/>
        <v>302.96600000000001</v>
      </c>
    </row>
    <row r="41" spans="1:10" s="273" customFormat="1" ht="15">
      <c r="A41" s="818"/>
      <c r="B41" s="301" t="s">
        <v>805</v>
      </c>
      <c r="C41" s="463">
        <v>14</v>
      </c>
      <c r="D41" s="275">
        <v>1</v>
      </c>
      <c r="E41" s="464">
        <v>24</v>
      </c>
      <c r="F41" s="275">
        <f t="shared" si="0"/>
        <v>24</v>
      </c>
      <c r="G41" s="276">
        <v>2.84</v>
      </c>
      <c r="H41" s="277">
        <f t="shared" si="1"/>
        <v>68.16</v>
      </c>
      <c r="I41" s="278">
        <f t="shared" si="2"/>
        <v>1.208</v>
      </c>
      <c r="J41" s="279">
        <f t="shared" si="3"/>
        <v>82.337000000000003</v>
      </c>
    </row>
    <row r="42" spans="1:10" s="273" customFormat="1" ht="15">
      <c r="A42" s="818"/>
      <c r="B42" s="301" t="s">
        <v>806</v>
      </c>
      <c r="C42" s="463">
        <v>14</v>
      </c>
      <c r="D42" s="275">
        <v>1</v>
      </c>
      <c r="E42" s="464">
        <v>24</v>
      </c>
      <c r="F42" s="275">
        <f t="shared" si="0"/>
        <v>24</v>
      </c>
      <c r="G42" s="276">
        <v>2.92</v>
      </c>
      <c r="H42" s="277">
        <f t="shared" si="1"/>
        <v>70.08</v>
      </c>
      <c r="I42" s="278">
        <f t="shared" si="2"/>
        <v>1.208</v>
      </c>
      <c r="J42" s="279">
        <f t="shared" si="3"/>
        <v>84.656999999999996</v>
      </c>
    </row>
    <row r="43" spans="1:10" s="273" customFormat="1" ht="15">
      <c r="A43" s="818"/>
      <c r="B43" s="301">
        <f>+B40+1</f>
        <v>51</v>
      </c>
      <c r="C43" s="463">
        <v>14</v>
      </c>
      <c r="D43" s="275">
        <v>1</v>
      </c>
      <c r="E43" s="464">
        <v>7</v>
      </c>
      <c r="F43" s="275">
        <f t="shared" si="0"/>
        <v>7</v>
      </c>
      <c r="G43" s="276">
        <v>10.98</v>
      </c>
      <c r="H43" s="277">
        <f t="shared" si="1"/>
        <v>76.86</v>
      </c>
      <c r="I43" s="278">
        <f t="shared" si="2"/>
        <v>1.208</v>
      </c>
      <c r="J43" s="279">
        <f t="shared" si="3"/>
        <v>92.846999999999994</v>
      </c>
    </row>
    <row r="44" spans="1:10" s="273" customFormat="1" ht="15">
      <c r="A44" s="818"/>
      <c r="B44" s="301">
        <v>53</v>
      </c>
      <c r="C44" s="463">
        <v>14</v>
      </c>
      <c r="D44" s="275">
        <v>1</v>
      </c>
      <c r="E44" s="464">
        <v>9</v>
      </c>
      <c r="F44" s="275">
        <f t="shared" si="0"/>
        <v>9</v>
      </c>
      <c r="G44" s="276">
        <v>2.5499999999999998</v>
      </c>
      <c r="H44" s="277">
        <f t="shared" si="1"/>
        <v>22.95</v>
      </c>
      <c r="I44" s="278">
        <f t="shared" si="2"/>
        <v>1.208</v>
      </c>
      <c r="J44" s="279">
        <f t="shared" si="3"/>
        <v>27.724</v>
      </c>
    </row>
    <row r="45" spans="1:10" s="273" customFormat="1" ht="15">
      <c r="A45" s="818"/>
      <c r="B45" s="301">
        <v>54</v>
      </c>
      <c r="C45" s="463">
        <v>18</v>
      </c>
      <c r="D45" s="275">
        <v>1</v>
      </c>
      <c r="E45" s="464">
        <v>13</v>
      </c>
      <c r="F45" s="275">
        <f t="shared" si="0"/>
        <v>13</v>
      </c>
      <c r="G45" s="276">
        <v>5.77</v>
      </c>
      <c r="H45" s="277">
        <f t="shared" si="1"/>
        <v>75.010000000000005</v>
      </c>
      <c r="I45" s="278">
        <f t="shared" si="2"/>
        <v>1.998</v>
      </c>
      <c r="J45" s="279">
        <f t="shared" si="3"/>
        <v>149.87</v>
      </c>
    </row>
    <row r="46" spans="1:10" s="273" customFormat="1" ht="15">
      <c r="A46" s="818"/>
      <c r="B46" s="301">
        <f t="shared" si="4"/>
        <v>55</v>
      </c>
      <c r="C46" s="463">
        <v>12</v>
      </c>
      <c r="D46" s="275">
        <v>1</v>
      </c>
      <c r="E46" s="464">
        <v>2</v>
      </c>
      <c r="F46" s="275">
        <f t="shared" si="0"/>
        <v>2</v>
      </c>
      <c r="G46" s="276">
        <v>4.2</v>
      </c>
      <c r="H46" s="277">
        <f t="shared" si="1"/>
        <v>8.4</v>
      </c>
      <c r="I46" s="278">
        <f t="shared" si="2"/>
        <v>0.88800000000000001</v>
      </c>
      <c r="J46" s="279">
        <f t="shared" si="3"/>
        <v>7.4589999999999996</v>
      </c>
    </row>
    <row r="47" spans="1:10" s="273" customFormat="1" ht="15">
      <c r="A47" s="818"/>
      <c r="B47" s="301">
        <f t="shared" si="4"/>
        <v>56</v>
      </c>
      <c r="C47" s="463">
        <v>12</v>
      </c>
      <c r="D47" s="275">
        <v>1</v>
      </c>
      <c r="E47" s="464">
        <v>7</v>
      </c>
      <c r="F47" s="275">
        <f t="shared" si="0"/>
        <v>7</v>
      </c>
      <c r="G47" s="276">
        <v>10.53</v>
      </c>
      <c r="H47" s="277">
        <f t="shared" si="1"/>
        <v>73.709999999999994</v>
      </c>
      <c r="I47" s="278">
        <f t="shared" si="2"/>
        <v>0.88800000000000001</v>
      </c>
      <c r="J47" s="279">
        <f t="shared" si="3"/>
        <v>65.453999999999994</v>
      </c>
    </row>
    <row r="48" spans="1:10" s="273" customFormat="1" ht="15">
      <c r="A48" s="818"/>
      <c r="B48" s="301">
        <f t="shared" si="4"/>
        <v>57</v>
      </c>
      <c r="C48" s="463">
        <v>12</v>
      </c>
      <c r="D48" s="275">
        <v>1</v>
      </c>
      <c r="E48" s="464">
        <v>2</v>
      </c>
      <c r="F48" s="275">
        <f t="shared" si="0"/>
        <v>2</v>
      </c>
      <c r="G48" s="276">
        <v>2.87</v>
      </c>
      <c r="H48" s="277">
        <f t="shared" si="1"/>
        <v>5.74</v>
      </c>
      <c r="I48" s="278">
        <f t="shared" si="2"/>
        <v>0.88800000000000001</v>
      </c>
      <c r="J48" s="279">
        <f t="shared" si="3"/>
        <v>5.0970000000000004</v>
      </c>
    </row>
    <row r="49" spans="1:11" s="273" customFormat="1" ht="15">
      <c r="A49" s="818"/>
      <c r="B49" s="301">
        <f t="shared" si="4"/>
        <v>58</v>
      </c>
      <c r="C49" s="463">
        <v>12</v>
      </c>
      <c r="D49" s="275">
        <v>1</v>
      </c>
      <c r="E49" s="464">
        <v>10</v>
      </c>
      <c r="F49" s="275">
        <f t="shared" si="0"/>
        <v>10</v>
      </c>
      <c r="G49" s="276">
        <v>4.49</v>
      </c>
      <c r="H49" s="277">
        <f t="shared" si="1"/>
        <v>44.9</v>
      </c>
      <c r="I49" s="278">
        <f t="shared" si="2"/>
        <v>0.88800000000000001</v>
      </c>
      <c r="J49" s="279">
        <f t="shared" si="3"/>
        <v>39.871000000000002</v>
      </c>
    </row>
    <row r="50" spans="1:11" s="273" customFormat="1" ht="15">
      <c r="A50" s="818"/>
      <c r="B50" s="301">
        <f t="shared" si="4"/>
        <v>59</v>
      </c>
      <c r="C50" s="463">
        <v>12</v>
      </c>
      <c r="D50" s="275">
        <v>1</v>
      </c>
      <c r="E50" s="464">
        <v>11</v>
      </c>
      <c r="F50" s="275">
        <f t="shared" si="0"/>
        <v>11</v>
      </c>
      <c r="G50" s="276">
        <v>8.4499999999999993</v>
      </c>
      <c r="H50" s="277">
        <f t="shared" si="1"/>
        <v>92.95</v>
      </c>
      <c r="I50" s="278">
        <f t="shared" si="2"/>
        <v>0.88800000000000001</v>
      </c>
      <c r="J50" s="279">
        <f t="shared" si="3"/>
        <v>82.54</v>
      </c>
    </row>
    <row r="51" spans="1:11" s="273" customFormat="1" ht="15">
      <c r="A51" s="818"/>
      <c r="B51" s="301">
        <v>61</v>
      </c>
      <c r="C51" s="463">
        <v>12</v>
      </c>
      <c r="D51" s="275">
        <v>1</v>
      </c>
      <c r="E51" s="464">
        <v>113</v>
      </c>
      <c r="F51" s="275">
        <f t="shared" si="0"/>
        <v>113</v>
      </c>
      <c r="G51" s="276">
        <v>1.38</v>
      </c>
      <c r="H51" s="277">
        <f t="shared" si="1"/>
        <v>155.94</v>
      </c>
      <c r="I51" s="278">
        <f t="shared" si="2"/>
        <v>0.88800000000000001</v>
      </c>
      <c r="J51" s="279">
        <f t="shared" si="3"/>
        <v>138.47499999999999</v>
      </c>
    </row>
    <row r="52" spans="1:11" s="273" customFormat="1" ht="15">
      <c r="A52" s="818"/>
      <c r="B52" s="301">
        <f t="shared" si="4"/>
        <v>62</v>
      </c>
      <c r="C52" s="463">
        <v>12</v>
      </c>
      <c r="D52" s="275">
        <v>1</v>
      </c>
      <c r="E52" s="464">
        <v>198</v>
      </c>
      <c r="F52" s="275">
        <f t="shared" si="0"/>
        <v>198</v>
      </c>
      <c r="G52" s="276">
        <v>1</v>
      </c>
      <c r="H52" s="277">
        <f t="shared" si="1"/>
        <v>198</v>
      </c>
      <c r="I52" s="278">
        <f t="shared" si="2"/>
        <v>0.88800000000000001</v>
      </c>
      <c r="J52" s="279">
        <f t="shared" si="3"/>
        <v>175.82400000000001</v>
      </c>
    </row>
    <row r="53" spans="1:11" s="273" customFormat="1" ht="15">
      <c r="A53" s="818"/>
      <c r="B53" s="301">
        <f t="shared" si="4"/>
        <v>63</v>
      </c>
      <c r="C53" s="463">
        <v>12</v>
      </c>
      <c r="D53" s="275">
        <v>1</v>
      </c>
      <c r="E53" s="464">
        <v>74</v>
      </c>
      <c r="F53" s="275">
        <f t="shared" si="0"/>
        <v>74</v>
      </c>
      <c r="G53" s="276">
        <v>1.18</v>
      </c>
      <c r="H53" s="277">
        <f t="shared" si="1"/>
        <v>87.32</v>
      </c>
      <c r="I53" s="278">
        <f t="shared" si="2"/>
        <v>0.88800000000000001</v>
      </c>
      <c r="J53" s="279">
        <f t="shared" si="3"/>
        <v>77.540000000000006</v>
      </c>
    </row>
    <row r="54" spans="1:11" s="273" customFormat="1" ht="15">
      <c r="A54" s="818"/>
      <c r="B54" s="301">
        <f t="shared" si="4"/>
        <v>64</v>
      </c>
      <c r="C54" s="463">
        <v>18</v>
      </c>
      <c r="D54" s="275">
        <v>1</v>
      </c>
      <c r="E54" s="464">
        <v>64</v>
      </c>
      <c r="F54" s="275">
        <f t="shared" si="0"/>
        <v>64</v>
      </c>
      <c r="G54" s="276">
        <v>1.93</v>
      </c>
      <c r="H54" s="277">
        <f t="shared" si="1"/>
        <v>123.52</v>
      </c>
      <c r="I54" s="278">
        <f t="shared" si="2"/>
        <v>1.998</v>
      </c>
      <c r="J54" s="279">
        <f t="shared" si="3"/>
        <v>246.79300000000001</v>
      </c>
    </row>
    <row r="55" spans="1:11" s="273" customFormat="1" ht="15">
      <c r="A55" s="818"/>
      <c r="B55" s="301">
        <f t="shared" si="4"/>
        <v>65</v>
      </c>
      <c r="C55" s="463">
        <v>12</v>
      </c>
      <c r="D55" s="275">
        <v>1</v>
      </c>
      <c r="E55" s="464">
        <v>6</v>
      </c>
      <c r="F55" s="275">
        <f t="shared" si="0"/>
        <v>6</v>
      </c>
      <c r="G55" s="276">
        <v>6.11</v>
      </c>
      <c r="H55" s="277">
        <f t="shared" si="1"/>
        <v>36.659999999999997</v>
      </c>
      <c r="I55" s="278">
        <f t="shared" si="2"/>
        <v>0.88800000000000001</v>
      </c>
      <c r="J55" s="279">
        <f t="shared" si="3"/>
        <v>32.554000000000002</v>
      </c>
    </row>
    <row r="56" spans="1:11" s="273" customFormat="1" ht="26.25" customHeight="1">
      <c r="A56" s="748" t="s">
        <v>807</v>
      </c>
      <c r="B56" s="301">
        <v>68</v>
      </c>
      <c r="C56" s="463">
        <v>16</v>
      </c>
      <c r="D56" s="275">
        <v>1</v>
      </c>
      <c r="E56" s="464">
        <v>12</v>
      </c>
      <c r="F56" s="275">
        <f t="shared" si="0"/>
        <v>12</v>
      </c>
      <c r="G56" s="276">
        <v>2.9</v>
      </c>
      <c r="H56" s="277">
        <f t="shared" si="1"/>
        <v>34.799999999999997</v>
      </c>
      <c r="I56" s="278">
        <f>I29</f>
        <v>1.5780000000000001</v>
      </c>
      <c r="J56" s="279">
        <f t="shared" si="3"/>
        <v>54.914000000000001</v>
      </c>
    </row>
    <row r="57" spans="1:11" s="273" customFormat="1" ht="26.25" customHeight="1">
      <c r="A57" s="748"/>
      <c r="B57" s="301">
        <v>69</v>
      </c>
      <c r="C57" s="463">
        <v>14</v>
      </c>
      <c r="D57" s="275">
        <v>1</v>
      </c>
      <c r="E57" s="464">
        <v>64</v>
      </c>
      <c r="F57" s="275">
        <f t="shared" si="0"/>
        <v>64</v>
      </c>
      <c r="G57" s="276">
        <v>1.05</v>
      </c>
      <c r="H57" s="277">
        <f t="shared" si="1"/>
        <v>67.2</v>
      </c>
      <c r="I57" s="278">
        <f t="shared" si="2"/>
        <v>1.208</v>
      </c>
      <c r="J57" s="279">
        <f t="shared" si="3"/>
        <v>81.177999999999997</v>
      </c>
    </row>
    <row r="58" spans="1:11" s="273" customFormat="1" ht="15">
      <c r="A58" s="261"/>
      <c r="B58" s="394"/>
      <c r="C58" s="395"/>
      <c r="D58" s="284"/>
      <c r="E58" s="284"/>
      <c r="F58" s="284"/>
      <c r="G58" s="285"/>
      <c r="H58" s="286"/>
      <c r="I58" s="287"/>
      <c r="J58" s="288"/>
    </row>
    <row r="59" spans="1:11" s="291" customFormat="1" ht="15">
      <c r="A59" s="261"/>
      <c r="B59" s="289" t="s">
        <v>473</v>
      </c>
      <c r="C59" s="284"/>
      <c r="D59" s="284"/>
      <c r="E59" s="284"/>
      <c r="F59" s="290"/>
      <c r="G59" s="285"/>
      <c r="H59" s="286"/>
      <c r="I59" s="287"/>
      <c r="K59" s="286"/>
    </row>
    <row r="60" spans="1:11" s="291" customFormat="1" ht="15">
      <c r="A60" s="261"/>
      <c r="B60" s="292" t="s">
        <v>754</v>
      </c>
      <c r="C60" s="284"/>
      <c r="D60" s="284"/>
      <c r="F60" s="293">
        <f>SUMIF($C$6:$C$57,12,$J$6:$J$57)</f>
        <v>1405.0359999999998</v>
      </c>
      <c r="G60" s="294" t="s">
        <v>273</v>
      </c>
      <c r="I60" s="287"/>
      <c r="K60" s="295" t="s">
        <v>857</v>
      </c>
    </row>
    <row r="61" spans="1:11" s="291" customFormat="1" ht="15">
      <c r="A61" s="261"/>
      <c r="B61" s="292" t="s">
        <v>476</v>
      </c>
      <c r="C61" s="284"/>
      <c r="D61" s="284"/>
      <c r="F61" s="293">
        <f>SUMIF($C$6:$C$57,14,$J$6:$J$57)</f>
        <v>1215.2730000000001</v>
      </c>
      <c r="G61" s="294" t="s">
        <v>273</v>
      </c>
      <c r="I61" s="287"/>
      <c r="K61" s="295"/>
    </row>
    <row r="62" spans="1:11" s="291" customFormat="1" ht="15">
      <c r="A62" s="261"/>
      <c r="B62" s="292" t="s">
        <v>741</v>
      </c>
      <c r="C62" s="284"/>
      <c r="D62" s="284"/>
      <c r="F62" s="293">
        <f>SUMIF($C$6:$C$57,16,$J$6:$J$57)</f>
        <v>1697.817</v>
      </c>
      <c r="G62" s="294" t="s">
        <v>273</v>
      </c>
      <c r="I62" s="287"/>
      <c r="K62" s="295"/>
    </row>
    <row r="63" spans="1:11" s="291" customFormat="1" ht="15">
      <c r="A63" s="261"/>
      <c r="B63" s="292" t="s">
        <v>742</v>
      </c>
      <c r="C63" s="284"/>
      <c r="D63" s="284"/>
      <c r="F63" s="293">
        <f>SUMIF($C$6:$C$57,18,$J$6:$J$57)</f>
        <v>3012.6250000000005</v>
      </c>
      <c r="G63" s="294" t="s">
        <v>273</v>
      </c>
      <c r="I63" s="287"/>
      <c r="K63" s="295"/>
    </row>
    <row r="64" spans="1:11" s="291" customFormat="1" ht="15">
      <c r="A64" s="261"/>
      <c r="B64" s="292"/>
      <c r="C64" s="284"/>
      <c r="D64" s="284"/>
      <c r="F64" s="293"/>
      <c r="G64" s="294"/>
      <c r="I64" s="287"/>
      <c r="K64" s="295"/>
    </row>
    <row r="65" spans="1:11" s="262" customFormat="1">
      <c r="A65" s="261"/>
      <c r="D65" s="260" t="s">
        <v>460</v>
      </c>
      <c r="E65" s="296"/>
      <c r="G65" s="297"/>
      <c r="H65" s="286"/>
      <c r="I65" s="260" t="s">
        <v>747</v>
      </c>
    </row>
    <row r="66" spans="1:11" s="262" customFormat="1">
      <c r="A66" s="261"/>
      <c r="B66" s="297"/>
      <c r="C66" s="296"/>
      <c r="D66" s="296"/>
      <c r="E66" s="296"/>
      <c r="F66" s="296"/>
      <c r="G66" s="296"/>
      <c r="H66" s="286"/>
      <c r="I66" s="260"/>
      <c r="J66" s="260"/>
    </row>
    <row r="67" spans="1:11" s="262" customFormat="1">
      <c r="A67" s="261"/>
      <c r="B67" s="297"/>
      <c r="C67" s="296"/>
      <c r="D67" s="296"/>
      <c r="E67" s="296"/>
      <c r="F67" s="296"/>
      <c r="G67" s="296"/>
      <c r="H67" s="286"/>
      <c r="I67" s="260"/>
      <c r="J67" s="260"/>
      <c r="K67" s="262" t="s">
        <v>475</v>
      </c>
    </row>
    <row r="68" spans="1:11" s="262" customFormat="1">
      <c r="A68" s="261"/>
      <c r="B68" s="297"/>
      <c r="C68" s="296"/>
      <c r="D68" s="296"/>
      <c r="E68" s="296"/>
      <c r="F68" s="296"/>
      <c r="G68" s="296"/>
      <c r="H68" s="286"/>
      <c r="I68" s="260"/>
      <c r="J68" s="260"/>
    </row>
    <row r="69" spans="1:11" s="262" customFormat="1">
      <c r="A69" s="261"/>
      <c r="B69" s="297"/>
      <c r="C69" s="296"/>
      <c r="D69" s="296"/>
      <c r="E69" s="296"/>
      <c r="F69" s="296"/>
      <c r="G69" s="296"/>
      <c r="H69" s="286"/>
      <c r="I69" s="260"/>
      <c r="J69" s="259"/>
    </row>
    <row r="70" spans="1:11" s="262" customFormat="1">
      <c r="A70" s="261"/>
      <c r="D70" s="297" t="s">
        <v>744</v>
      </c>
      <c r="E70" s="298"/>
      <c r="G70" s="297"/>
      <c r="H70" s="286"/>
      <c r="I70" s="260" t="s">
        <v>746</v>
      </c>
      <c r="J70" s="259"/>
    </row>
    <row r="74" spans="1:11" s="262" customFormat="1" ht="15">
      <c r="A74" s="261"/>
      <c r="B74" s="284"/>
      <c r="C74" s="284"/>
      <c r="D74" s="284"/>
      <c r="E74" s="284"/>
      <c r="F74" s="284"/>
      <c r="G74" s="285"/>
      <c r="H74" s="286"/>
      <c r="I74" s="287"/>
      <c r="J74" s="288"/>
    </row>
    <row r="75" spans="1:11" s="262" customFormat="1" ht="15">
      <c r="A75" s="261"/>
      <c r="B75" s="284"/>
      <c r="C75" s="284"/>
      <c r="D75" s="284"/>
      <c r="E75" s="284"/>
      <c r="F75" s="284"/>
      <c r="G75" s="285"/>
      <c r="H75" s="286"/>
      <c r="I75" s="287"/>
      <c r="J75" s="288"/>
    </row>
    <row r="76" spans="1:11" s="262" customFormat="1" ht="15">
      <c r="A76" s="261"/>
      <c r="B76" s="284"/>
      <c r="C76" s="284"/>
      <c r="D76" s="284"/>
      <c r="E76" s="284"/>
      <c r="F76" s="284"/>
      <c r="G76" s="285"/>
      <c r="H76" s="286"/>
      <c r="I76" s="287"/>
      <c r="J76" s="288"/>
    </row>
    <row r="77" spans="1:11" s="262" customFormat="1" ht="15">
      <c r="A77" s="261"/>
      <c r="B77" s="284"/>
      <c r="C77" s="284"/>
      <c r="D77" s="284"/>
      <c r="E77" s="284"/>
      <c r="F77" s="284"/>
      <c r="G77" s="285"/>
      <c r="H77" s="286"/>
      <c r="I77" s="287"/>
      <c r="J77" s="288"/>
    </row>
    <row r="78" spans="1:11" s="262" customFormat="1" ht="15">
      <c r="A78" s="261"/>
      <c r="B78" s="284"/>
      <c r="C78" s="284"/>
      <c r="D78" s="284"/>
      <c r="E78" s="284"/>
      <c r="F78" s="284"/>
      <c r="G78" s="285"/>
      <c r="H78" s="286"/>
      <c r="I78" s="287"/>
      <c r="J78" s="288"/>
    </row>
    <row r="79" spans="1:11" s="262" customFormat="1" ht="15">
      <c r="A79" s="261"/>
      <c r="B79" s="284"/>
      <c r="C79" s="284"/>
      <c r="D79" s="284"/>
      <c r="E79" s="284"/>
      <c r="F79" s="284"/>
      <c r="G79" s="285"/>
      <c r="H79" s="286"/>
      <c r="I79" s="287"/>
      <c r="J79" s="288"/>
    </row>
  </sheetData>
  <mergeCells count="9">
    <mergeCell ref="A6:A55"/>
    <mergeCell ref="A56:A57"/>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sheetPr>
    <tabColor rgb="FFFFFF00"/>
  </sheetPr>
  <dimension ref="A1:L89"/>
  <sheetViews>
    <sheetView topLeftCell="A47" workbookViewId="0">
      <selection activeCell="F20" sqref="F20"/>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bestFit="1" customWidth="1"/>
    <col min="14" max="14" width="15" style="269" bestFit="1" customWidth="1"/>
    <col min="15" max="16384" width="9.140625" style="269"/>
  </cols>
  <sheetData>
    <row r="1" spans="1:12" s="266" customFormat="1" ht="22.5">
      <c r="A1" s="263" t="s">
        <v>738</v>
      </c>
      <c r="B1" s="264"/>
      <c r="C1" s="264"/>
      <c r="D1" s="264"/>
      <c r="E1" s="264"/>
      <c r="F1" s="264"/>
      <c r="G1" s="264"/>
      <c r="H1" s="264"/>
      <c r="I1" s="264"/>
      <c r="J1" s="265"/>
    </row>
    <row r="2" spans="1:12" s="266" customFormat="1" ht="20.25">
      <c r="A2" s="264"/>
      <c r="B2" s="264"/>
      <c r="C2" s="264"/>
      <c r="D2" s="264"/>
      <c r="E2" s="264"/>
      <c r="F2" s="392" t="s">
        <v>740</v>
      </c>
      <c r="G2" s="264"/>
      <c r="H2" s="264"/>
      <c r="I2" s="264"/>
      <c r="J2" s="265"/>
    </row>
    <row r="3" spans="1:12" ht="16.5">
      <c r="A3" s="267"/>
      <c r="I3" s="749"/>
      <c r="J3" s="749"/>
    </row>
    <row r="4" spans="1:12" s="273" customFormat="1" ht="14.25">
      <c r="A4" s="750" t="s">
        <v>462</v>
      </c>
      <c r="B4" s="750" t="s">
        <v>463</v>
      </c>
      <c r="C4" s="750" t="s">
        <v>464</v>
      </c>
      <c r="D4" s="753" t="s">
        <v>465</v>
      </c>
      <c r="E4" s="270" t="s">
        <v>466</v>
      </c>
      <c r="F4" s="271"/>
      <c r="G4" s="272" t="s">
        <v>467</v>
      </c>
      <c r="H4" s="272"/>
      <c r="I4" s="753" t="s">
        <v>468</v>
      </c>
      <c r="J4" s="750" t="s">
        <v>469</v>
      </c>
    </row>
    <row r="5" spans="1:12" s="273" customFormat="1" ht="14.25">
      <c r="A5" s="751"/>
      <c r="B5" s="752"/>
      <c r="C5" s="751"/>
      <c r="D5" s="754"/>
      <c r="E5" s="492" t="s">
        <v>470</v>
      </c>
      <c r="F5" s="492" t="s">
        <v>471</v>
      </c>
      <c r="G5" s="492" t="s">
        <v>472</v>
      </c>
      <c r="H5" s="492" t="s">
        <v>471</v>
      </c>
      <c r="I5" s="754"/>
      <c r="J5" s="751"/>
    </row>
    <row r="6" spans="1:12" s="273" customFormat="1" ht="15">
      <c r="A6" s="748" t="s">
        <v>757</v>
      </c>
      <c r="B6" s="301">
        <v>19</v>
      </c>
      <c r="C6" s="257">
        <v>18</v>
      </c>
      <c r="D6" s="275">
        <v>1</v>
      </c>
      <c r="E6" s="275">
        <v>4</v>
      </c>
      <c r="F6" s="275">
        <f t="shared" ref="F6:F63" si="0">D6*E6</f>
        <v>4</v>
      </c>
      <c r="G6" s="276">
        <v>5</v>
      </c>
      <c r="H6" s="277">
        <f t="shared" ref="H6:H61" si="1">ROUND(F6*G6,3)</f>
        <v>20</v>
      </c>
      <c r="I6" s="278">
        <f t="shared" ref="I6:I63" si="2">ROUND(3.1416*(C6/1000)^2/4*7850*1,3)</f>
        <v>1.998</v>
      </c>
      <c r="J6" s="279">
        <f t="shared" ref="J6:J63" si="3">ROUND(H6*I6,3)</f>
        <v>39.96</v>
      </c>
      <c r="K6" s="273">
        <v>4</v>
      </c>
      <c r="L6" s="273">
        <v>500</v>
      </c>
    </row>
    <row r="7" spans="1:12" s="273" customFormat="1" ht="15">
      <c r="A7" s="748"/>
      <c r="B7" s="301">
        <f>+B6+1</f>
        <v>20</v>
      </c>
      <c r="C7" s="257">
        <v>18</v>
      </c>
      <c r="D7" s="275">
        <f>+D6</f>
        <v>1</v>
      </c>
      <c r="E7" s="275">
        <v>4</v>
      </c>
      <c r="F7" s="275">
        <f t="shared" si="0"/>
        <v>4</v>
      </c>
      <c r="G7" s="276">
        <v>4.91</v>
      </c>
      <c r="H7" s="277">
        <f t="shared" si="1"/>
        <v>19.64</v>
      </c>
      <c r="I7" s="278">
        <f t="shared" si="2"/>
        <v>1.998</v>
      </c>
      <c r="J7" s="279">
        <f t="shared" si="3"/>
        <v>39.241</v>
      </c>
      <c r="K7" s="280">
        <v>4</v>
      </c>
      <c r="L7" s="273">
        <v>491</v>
      </c>
    </row>
    <row r="8" spans="1:12" s="281" customFormat="1" ht="15">
      <c r="A8" s="748"/>
      <c r="B8" s="301">
        <f t="shared" ref="B8:B61" si="4">+B7+1</f>
        <v>21</v>
      </c>
      <c r="C8" s="257">
        <v>18</v>
      </c>
      <c r="D8" s="275">
        <f t="shared" ref="D8:D61" si="5">+D7</f>
        <v>1</v>
      </c>
      <c r="E8" s="275">
        <v>40</v>
      </c>
      <c r="F8" s="275">
        <f t="shared" si="0"/>
        <v>40</v>
      </c>
      <c r="G8" s="276">
        <v>5.4649999999999999</v>
      </c>
      <c r="H8" s="277">
        <f t="shared" si="1"/>
        <v>218.6</v>
      </c>
      <c r="I8" s="278">
        <f t="shared" si="2"/>
        <v>1.998</v>
      </c>
      <c r="J8" s="279">
        <f t="shared" si="3"/>
        <v>436.76299999999998</v>
      </c>
      <c r="K8" s="281">
        <v>40</v>
      </c>
      <c r="L8" s="281">
        <v>546.5</v>
      </c>
    </row>
    <row r="9" spans="1:12" s="273" customFormat="1" ht="15">
      <c r="A9" s="748"/>
      <c r="B9" s="301">
        <f t="shared" si="4"/>
        <v>22</v>
      </c>
      <c r="C9" s="257">
        <v>18</v>
      </c>
      <c r="D9" s="275">
        <f t="shared" si="5"/>
        <v>1</v>
      </c>
      <c r="E9" s="275">
        <v>81</v>
      </c>
      <c r="F9" s="275">
        <f t="shared" si="0"/>
        <v>81</v>
      </c>
      <c r="G9" s="276">
        <v>6.2</v>
      </c>
      <c r="H9" s="277">
        <f t="shared" si="1"/>
        <v>502.2</v>
      </c>
      <c r="I9" s="278">
        <f t="shared" si="2"/>
        <v>1.998</v>
      </c>
      <c r="J9" s="279">
        <f t="shared" si="3"/>
        <v>1003.396</v>
      </c>
      <c r="K9" s="273">
        <v>81</v>
      </c>
      <c r="L9" s="273">
        <v>620</v>
      </c>
    </row>
    <row r="10" spans="1:12" s="273" customFormat="1" ht="15">
      <c r="A10" s="748"/>
      <c r="B10" s="301">
        <f t="shared" si="4"/>
        <v>23</v>
      </c>
      <c r="C10" s="257">
        <v>18</v>
      </c>
      <c r="D10" s="275">
        <f t="shared" si="5"/>
        <v>1</v>
      </c>
      <c r="E10" s="275">
        <v>8</v>
      </c>
      <c r="F10" s="275">
        <f t="shared" si="0"/>
        <v>8</v>
      </c>
      <c r="G10" s="276">
        <v>6.11</v>
      </c>
      <c r="H10" s="277">
        <f t="shared" si="1"/>
        <v>48.88</v>
      </c>
      <c r="I10" s="278">
        <f t="shared" si="2"/>
        <v>1.998</v>
      </c>
      <c r="J10" s="279">
        <f t="shared" si="3"/>
        <v>97.662000000000006</v>
      </c>
      <c r="K10" s="273">
        <v>4</v>
      </c>
      <c r="L10" s="273">
        <v>608</v>
      </c>
    </row>
    <row r="11" spans="1:12" s="273" customFormat="1" ht="15">
      <c r="A11" s="748"/>
      <c r="B11" s="301" t="s">
        <v>758</v>
      </c>
      <c r="C11" s="257">
        <v>18</v>
      </c>
      <c r="D11" s="275">
        <f t="shared" si="5"/>
        <v>1</v>
      </c>
      <c r="E11" s="275">
        <v>40</v>
      </c>
      <c r="F11" s="275">
        <f t="shared" si="0"/>
        <v>40</v>
      </c>
      <c r="G11" s="276">
        <v>5.7</v>
      </c>
      <c r="H11" s="277">
        <f t="shared" si="1"/>
        <v>228</v>
      </c>
      <c r="I11" s="278">
        <f t="shared" si="2"/>
        <v>1.998</v>
      </c>
      <c r="J11" s="279">
        <f t="shared" si="3"/>
        <v>455.54399999999998</v>
      </c>
      <c r="K11" s="273">
        <v>44</v>
      </c>
      <c r="L11" s="273">
        <v>600</v>
      </c>
    </row>
    <row r="12" spans="1:12" s="273" customFormat="1" ht="15">
      <c r="A12" s="748"/>
      <c r="B12" s="301">
        <f>+B10+1</f>
        <v>24</v>
      </c>
      <c r="C12" s="257">
        <v>18</v>
      </c>
      <c r="D12" s="275">
        <f t="shared" si="5"/>
        <v>1</v>
      </c>
      <c r="E12" s="275">
        <v>31</v>
      </c>
      <c r="F12" s="275">
        <f t="shared" si="0"/>
        <v>31</v>
      </c>
      <c r="G12" s="276">
        <v>4.4850000000000003</v>
      </c>
      <c r="H12" s="277">
        <f t="shared" si="1"/>
        <v>139.035</v>
      </c>
      <c r="I12" s="278">
        <f t="shared" si="2"/>
        <v>1.998</v>
      </c>
      <c r="J12" s="279">
        <f t="shared" si="3"/>
        <v>277.79199999999997</v>
      </c>
      <c r="K12" s="282">
        <v>31</v>
      </c>
      <c r="L12" s="273">
        <v>448.5</v>
      </c>
    </row>
    <row r="13" spans="1:12" s="273" customFormat="1" ht="15">
      <c r="A13" s="748"/>
      <c r="B13" s="301">
        <f t="shared" si="4"/>
        <v>25</v>
      </c>
      <c r="C13" s="257">
        <v>18</v>
      </c>
      <c r="D13" s="275">
        <f t="shared" si="5"/>
        <v>1</v>
      </c>
      <c r="E13" s="275">
        <v>4</v>
      </c>
      <c r="F13" s="275">
        <f t="shared" si="0"/>
        <v>4</v>
      </c>
      <c r="G13" s="276">
        <v>3.855</v>
      </c>
      <c r="H13" s="277">
        <f t="shared" si="1"/>
        <v>15.42</v>
      </c>
      <c r="I13" s="278">
        <f t="shared" si="2"/>
        <v>1.998</v>
      </c>
      <c r="J13" s="279">
        <f t="shared" si="3"/>
        <v>30.809000000000001</v>
      </c>
      <c r="K13" s="273">
        <v>4</v>
      </c>
      <c r="L13" s="273">
        <v>385.5</v>
      </c>
    </row>
    <row r="14" spans="1:12" s="273" customFormat="1" ht="15">
      <c r="A14" s="748"/>
      <c r="B14" s="301">
        <f t="shared" si="4"/>
        <v>26</v>
      </c>
      <c r="C14" s="257">
        <v>18</v>
      </c>
      <c r="D14" s="275">
        <f t="shared" si="5"/>
        <v>1</v>
      </c>
      <c r="E14" s="275">
        <v>12</v>
      </c>
      <c r="F14" s="275">
        <f t="shared" si="0"/>
        <v>12</v>
      </c>
      <c r="G14" s="276">
        <v>3.9</v>
      </c>
      <c r="H14" s="277">
        <f t="shared" si="1"/>
        <v>46.8</v>
      </c>
      <c r="I14" s="278">
        <f t="shared" si="2"/>
        <v>1.998</v>
      </c>
      <c r="J14" s="279">
        <f t="shared" si="3"/>
        <v>93.506</v>
      </c>
      <c r="K14" s="273">
        <v>12</v>
      </c>
      <c r="L14" s="273">
        <v>390</v>
      </c>
    </row>
    <row r="15" spans="1:12" s="273" customFormat="1" ht="15">
      <c r="A15" s="748"/>
      <c r="B15" s="301">
        <f t="shared" si="4"/>
        <v>27</v>
      </c>
      <c r="C15" s="257">
        <v>14</v>
      </c>
      <c r="D15" s="275">
        <f t="shared" si="5"/>
        <v>1</v>
      </c>
      <c r="E15" s="275">
        <v>5</v>
      </c>
      <c r="F15" s="275">
        <f t="shared" si="0"/>
        <v>5</v>
      </c>
      <c r="G15" s="276">
        <v>19.63</v>
      </c>
      <c r="H15" s="277">
        <f t="shared" si="1"/>
        <v>98.15</v>
      </c>
      <c r="I15" s="278">
        <f t="shared" si="2"/>
        <v>1.208</v>
      </c>
      <c r="J15" s="279">
        <f t="shared" si="3"/>
        <v>118.565</v>
      </c>
      <c r="K15" s="273">
        <v>7</v>
      </c>
      <c r="L15" s="273">
        <v>1870.5</v>
      </c>
    </row>
    <row r="16" spans="1:12" s="273" customFormat="1" ht="15">
      <c r="A16" s="748"/>
      <c r="B16" s="301" t="s">
        <v>802</v>
      </c>
      <c r="C16" s="257">
        <v>14</v>
      </c>
      <c r="D16" s="275">
        <f t="shared" si="5"/>
        <v>1</v>
      </c>
      <c r="E16" s="275">
        <v>2</v>
      </c>
      <c r="F16" s="275">
        <f t="shared" si="0"/>
        <v>2</v>
      </c>
      <c r="G16" s="276">
        <v>8.94</v>
      </c>
      <c r="H16" s="277">
        <f t="shared" si="1"/>
        <v>17.88</v>
      </c>
      <c r="I16" s="278">
        <f t="shared" si="2"/>
        <v>1.208</v>
      </c>
      <c r="J16" s="279">
        <f t="shared" si="3"/>
        <v>21.599</v>
      </c>
      <c r="L16" s="273">
        <v>1870.5</v>
      </c>
    </row>
    <row r="17" spans="1:12" s="273" customFormat="1" ht="15">
      <c r="A17" s="748"/>
      <c r="B17" s="301">
        <f>+B15+1</f>
        <v>28</v>
      </c>
      <c r="C17" s="257">
        <v>14</v>
      </c>
      <c r="D17" s="275">
        <f>+D15</f>
        <v>1</v>
      </c>
      <c r="E17" s="275">
        <v>18</v>
      </c>
      <c r="F17" s="275">
        <f t="shared" si="0"/>
        <v>18</v>
      </c>
      <c r="G17" s="276">
        <v>17.43</v>
      </c>
      <c r="H17" s="277">
        <f t="shared" si="1"/>
        <v>313.74</v>
      </c>
      <c r="I17" s="278">
        <f t="shared" si="2"/>
        <v>1.208</v>
      </c>
      <c r="J17" s="279">
        <f t="shared" si="3"/>
        <v>378.99799999999999</v>
      </c>
      <c r="K17" s="273">
        <v>18</v>
      </c>
      <c r="L17" s="273">
        <v>1743</v>
      </c>
    </row>
    <row r="18" spans="1:12" s="273" customFormat="1" ht="15">
      <c r="A18" s="748"/>
      <c r="B18" s="301">
        <f t="shared" si="4"/>
        <v>29</v>
      </c>
      <c r="C18" s="257">
        <v>14</v>
      </c>
      <c r="D18" s="275">
        <f t="shared" si="5"/>
        <v>1</v>
      </c>
      <c r="E18" s="275">
        <v>9</v>
      </c>
      <c r="F18" s="275">
        <f t="shared" si="0"/>
        <v>9</v>
      </c>
      <c r="G18" s="276">
        <v>2.44</v>
      </c>
      <c r="H18" s="277">
        <f t="shared" si="1"/>
        <v>21.96</v>
      </c>
      <c r="I18" s="278">
        <f t="shared" si="2"/>
        <v>1.208</v>
      </c>
      <c r="J18" s="279">
        <f t="shared" si="3"/>
        <v>26.527999999999999</v>
      </c>
      <c r="K18" s="273">
        <v>9</v>
      </c>
      <c r="L18" s="273">
        <v>244</v>
      </c>
    </row>
    <row r="19" spans="1:12" s="273" customFormat="1" ht="15">
      <c r="A19" s="748"/>
      <c r="B19" s="301">
        <f t="shared" si="4"/>
        <v>30</v>
      </c>
      <c r="C19" s="257">
        <v>18</v>
      </c>
      <c r="D19" s="275">
        <f t="shared" si="5"/>
        <v>1</v>
      </c>
      <c r="E19" s="275">
        <v>13</v>
      </c>
      <c r="F19" s="275">
        <f t="shared" si="0"/>
        <v>13</v>
      </c>
      <c r="G19" s="276">
        <v>4.01</v>
      </c>
      <c r="H19" s="277">
        <f t="shared" si="1"/>
        <v>52.13</v>
      </c>
      <c r="I19" s="278">
        <f t="shared" si="2"/>
        <v>1.998</v>
      </c>
      <c r="J19" s="279">
        <f t="shared" si="3"/>
        <v>104.15600000000001</v>
      </c>
      <c r="K19" s="273">
        <v>13</v>
      </c>
      <c r="L19" s="273">
        <v>401</v>
      </c>
    </row>
    <row r="20" spans="1:12" s="273" customFormat="1" ht="15">
      <c r="A20" s="748"/>
      <c r="B20" s="301">
        <f t="shared" si="4"/>
        <v>31</v>
      </c>
      <c r="C20" s="257">
        <v>18</v>
      </c>
      <c r="D20" s="275">
        <f t="shared" si="5"/>
        <v>1</v>
      </c>
      <c r="E20" s="275">
        <v>13</v>
      </c>
      <c r="F20" s="275">
        <f t="shared" si="0"/>
        <v>13</v>
      </c>
      <c r="G20" s="276">
        <v>2.23</v>
      </c>
      <c r="H20" s="277">
        <f t="shared" si="1"/>
        <v>28.99</v>
      </c>
      <c r="I20" s="278">
        <f t="shared" si="2"/>
        <v>1.998</v>
      </c>
      <c r="J20" s="279">
        <f t="shared" si="3"/>
        <v>57.921999999999997</v>
      </c>
      <c r="K20" s="273">
        <v>13</v>
      </c>
      <c r="L20" s="273">
        <v>223</v>
      </c>
    </row>
    <row r="21" spans="1:12" s="273" customFormat="1" ht="15">
      <c r="A21" s="748"/>
      <c r="B21" s="301">
        <f t="shared" si="4"/>
        <v>32</v>
      </c>
      <c r="C21" s="257">
        <v>18</v>
      </c>
      <c r="D21" s="275">
        <f t="shared" si="5"/>
        <v>1</v>
      </c>
      <c r="E21" s="275">
        <v>19</v>
      </c>
      <c r="F21" s="275">
        <f t="shared" si="0"/>
        <v>19</v>
      </c>
      <c r="G21" s="276">
        <v>2.95</v>
      </c>
      <c r="H21" s="277">
        <f t="shared" si="1"/>
        <v>56.05</v>
      </c>
      <c r="I21" s="278">
        <f t="shared" si="2"/>
        <v>1.998</v>
      </c>
      <c r="J21" s="279">
        <f t="shared" si="3"/>
        <v>111.988</v>
      </c>
      <c r="K21" s="273">
        <v>19</v>
      </c>
      <c r="L21" s="273">
        <v>295</v>
      </c>
    </row>
    <row r="22" spans="1:12" s="273" customFormat="1" ht="15">
      <c r="A22" s="748"/>
      <c r="B22" s="301">
        <f t="shared" si="4"/>
        <v>33</v>
      </c>
      <c r="C22" s="257">
        <v>12</v>
      </c>
      <c r="D22" s="275">
        <f t="shared" si="5"/>
        <v>1</v>
      </c>
      <c r="E22" s="275">
        <v>2</v>
      </c>
      <c r="F22" s="275">
        <f t="shared" si="0"/>
        <v>2</v>
      </c>
      <c r="G22" s="276">
        <v>13.845000000000001</v>
      </c>
      <c r="H22" s="277">
        <f t="shared" si="1"/>
        <v>27.69</v>
      </c>
      <c r="I22" s="278">
        <f t="shared" si="2"/>
        <v>0.88800000000000001</v>
      </c>
      <c r="J22" s="279">
        <f t="shared" si="3"/>
        <v>24.588999999999999</v>
      </c>
      <c r="K22" s="273">
        <v>2</v>
      </c>
      <c r="L22" s="273">
        <v>1309.5</v>
      </c>
    </row>
    <row r="23" spans="1:12" s="273" customFormat="1" ht="15">
      <c r="A23" s="748"/>
      <c r="B23" s="301">
        <f t="shared" si="4"/>
        <v>34</v>
      </c>
      <c r="C23" s="257">
        <v>12</v>
      </c>
      <c r="D23" s="275">
        <f t="shared" si="5"/>
        <v>1</v>
      </c>
      <c r="E23" s="275">
        <v>2</v>
      </c>
      <c r="F23" s="275">
        <f t="shared" si="0"/>
        <v>2</v>
      </c>
      <c r="G23" s="276">
        <v>3.75</v>
      </c>
      <c r="H23" s="277">
        <f t="shared" si="1"/>
        <v>7.5</v>
      </c>
      <c r="I23" s="278">
        <f t="shared" si="2"/>
        <v>0.88800000000000001</v>
      </c>
      <c r="J23" s="279">
        <f t="shared" si="3"/>
        <v>6.66</v>
      </c>
      <c r="K23" s="273">
        <v>2</v>
      </c>
      <c r="L23" s="273">
        <v>375</v>
      </c>
    </row>
    <row r="24" spans="1:12" s="415" customFormat="1" ht="15">
      <c r="A24" s="748"/>
      <c r="B24" s="410">
        <f t="shared" si="4"/>
        <v>35</v>
      </c>
      <c r="C24" s="411">
        <v>16</v>
      </c>
      <c r="D24" s="397">
        <f t="shared" si="5"/>
        <v>1</v>
      </c>
      <c r="E24" s="397">
        <v>4</v>
      </c>
      <c r="F24" s="397">
        <f t="shared" si="0"/>
        <v>4</v>
      </c>
      <c r="G24" s="412">
        <v>4.4000000000000004</v>
      </c>
      <c r="H24" s="396">
        <f t="shared" si="1"/>
        <v>17.600000000000001</v>
      </c>
      <c r="I24" s="413">
        <f t="shared" si="2"/>
        <v>1.5780000000000001</v>
      </c>
      <c r="J24" s="414">
        <f t="shared" si="3"/>
        <v>27.773</v>
      </c>
      <c r="K24" s="273">
        <v>2</v>
      </c>
      <c r="L24" s="415">
        <v>440</v>
      </c>
    </row>
    <row r="25" spans="1:12" s="273" customFormat="1" ht="15">
      <c r="A25" s="748"/>
      <c r="B25" s="301">
        <f t="shared" si="4"/>
        <v>36</v>
      </c>
      <c r="C25" s="257">
        <v>16</v>
      </c>
      <c r="D25" s="275">
        <f t="shared" si="5"/>
        <v>1</v>
      </c>
      <c r="E25" s="275">
        <v>4</v>
      </c>
      <c r="F25" s="275">
        <f t="shared" si="0"/>
        <v>4</v>
      </c>
      <c r="G25" s="276">
        <v>4.3099999999999996</v>
      </c>
      <c r="H25" s="277">
        <f t="shared" si="1"/>
        <v>17.239999999999998</v>
      </c>
      <c r="I25" s="278">
        <f t="shared" si="2"/>
        <v>1.5780000000000001</v>
      </c>
      <c r="J25" s="279">
        <f t="shared" si="3"/>
        <v>27.204999999999998</v>
      </c>
      <c r="K25" s="415">
        <v>4</v>
      </c>
      <c r="L25" s="273">
        <v>431</v>
      </c>
    </row>
    <row r="26" spans="1:12" s="273" customFormat="1" ht="15">
      <c r="A26" s="748"/>
      <c r="B26" s="301">
        <f t="shared" si="4"/>
        <v>37</v>
      </c>
      <c r="C26" s="257">
        <v>16</v>
      </c>
      <c r="D26" s="275">
        <f t="shared" si="5"/>
        <v>1</v>
      </c>
      <c r="E26" s="275">
        <v>40</v>
      </c>
      <c r="F26" s="275">
        <f t="shared" si="0"/>
        <v>40</v>
      </c>
      <c r="G26" s="276">
        <v>4.8600000000000003</v>
      </c>
      <c r="H26" s="396">
        <f t="shared" si="1"/>
        <v>194.4</v>
      </c>
      <c r="I26" s="278">
        <f t="shared" si="2"/>
        <v>1.5780000000000001</v>
      </c>
      <c r="J26" s="279">
        <f t="shared" si="3"/>
        <v>306.76299999999998</v>
      </c>
      <c r="K26" s="273">
        <v>40</v>
      </c>
      <c r="L26" s="273">
        <v>486</v>
      </c>
    </row>
    <row r="27" spans="1:12" s="273" customFormat="1" ht="15">
      <c r="A27" s="748"/>
      <c r="B27" s="301">
        <f t="shared" si="4"/>
        <v>38</v>
      </c>
      <c r="C27" s="257">
        <v>16</v>
      </c>
      <c r="D27" s="275">
        <f t="shared" si="5"/>
        <v>1</v>
      </c>
      <c r="E27" s="275">
        <v>82</v>
      </c>
      <c r="F27" s="275">
        <f t="shared" si="0"/>
        <v>82</v>
      </c>
      <c r="G27" s="276">
        <v>5.6</v>
      </c>
      <c r="H27" s="277">
        <f t="shared" si="1"/>
        <v>459.2</v>
      </c>
      <c r="I27" s="278">
        <f t="shared" si="2"/>
        <v>1.5780000000000001</v>
      </c>
      <c r="J27" s="279">
        <f t="shared" si="3"/>
        <v>724.61800000000005</v>
      </c>
      <c r="K27" s="273">
        <v>82</v>
      </c>
      <c r="L27" s="273">
        <v>560</v>
      </c>
    </row>
    <row r="28" spans="1:12" s="273" customFormat="1" ht="15">
      <c r="A28" s="748"/>
      <c r="B28" s="301">
        <f t="shared" si="4"/>
        <v>39</v>
      </c>
      <c r="C28" s="257">
        <v>16</v>
      </c>
      <c r="D28" s="275">
        <f t="shared" si="5"/>
        <v>1</v>
      </c>
      <c r="E28" s="275">
        <v>8</v>
      </c>
      <c r="F28" s="275">
        <f t="shared" si="0"/>
        <v>8</v>
      </c>
      <c r="G28" s="276">
        <v>5.45</v>
      </c>
      <c r="H28" s="277">
        <f t="shared" si="1"/>
        <v>43.6</v>
      </c>
      <c r="I28" s="278">
        <f t="shared" si="2"/>
        <v>1.5780000000000001</v>
      </c>
      <c r="J28" s="279">
        <f t="shared" si="3"/>
        <v>68.801000000000002</v>
      </c>
      <c r="K28" s="273">
        <v>4</v>
      </c>
      <c r="L28" s="273">
        <v>549</v>
      </c>
    </row>
    <row r="29" spans="1:12" s="273" customFormat="1" ht="15">
      <c r="A29" s="748"/>
      <c r="B29" s="301" t="s">
        <v>759</v>
      </c>
      <c r="C29" s="257">
        <v>16</v>
      </c>
      <c r="D29" s="275">
        <f t="shared" si="5"/>
        <v>1</v>
      </c>
      <c r="E29" s="275">
        <v>49</v>
      </c>
      <c r="F29" s="275">
        <f t="shared" si="0"/>
        <v>49</v>
      </c>
      <c r="G29" s="276">
        <v>5.0999999999999996</v>
      </c>
      <c r="H29" s="277">
        <f t="shared" si="1"/>
        <v>249.9</v>
      </c>
      <c r="I29" s="278">
        <f t="shared" si="2"/>
        <v>1.5780000000000001</v>
      </c>
      <c r="J29" s="279">
        <f t="shared" si="3"/>
        <v>394.34199999999998</v>
      </c>
      <c r="K29" s="273">
        <v>49</v>
      </c>
      <c r="L29" s="273">
        <v>540</v>
      </c>
    </row>
    <row r="30" spans="1:12" s="273" customFormat="1" ht="15">
      <c r="A30" s="748"/>
      <c r="B30" s="301">
        <f>+B28+1</f>
        <v>40</v>
      </c>
      <c r="C30" s="257">
        <v>16</v>
      </c>
      <c r="D30" s="275">
        <f t="shared" si="5"/>
        <v>1</v>
      </c>
      <c r="E30" s="275">
        <v>31</v>
      </c>
      <c r="F30" s="275">
        <f t="shared" si="0"/>
        <v>31</v>
      </c>
      <c r="G30" s="276">
        <v>4.3849999999999998</v>
      </c>
      <c r="H30" s="277">
        <f t="shared" si="1"/>
        <v>135.935</v>
      </c>
      <c r="I30" s="278">
        <f t="shared" si="2"/>
        <v>1.5780000000000001</v>
      </c>
      <c r="J30" s="279">
        <f t="shared" si="3"/>
        <v>214.505</v>
      </c>
      <c r="K30" s="273">
        <v>31</v>
      </c>
      <c r="L30" s="273">
        <v>438.5</v>
      </c>
    </row>
    <row r="31" spans="1:12" s="273" customFormat="1" ht="15">
      <c r="A31" s="748"/>
      <c r="B31" s="301">
        <f t="shared" si="4"/>
        <v>41</v>
      </c>
      <c r="C31" s="257">
        <v>16</v>
      </c>
      <c r="D31" s="275">
        <f t="shared" si="5"/>
        <v>1</v>
      </c>
      <c r="E31" s="275">
        <v>4</v>
      </c>
      <c r="F31" s="275">
        <f t="shared" si="0"/>
        <v>4</v>
      </c>
      <c r="G31" s="276">
        <v>3.2149999999999999</v>
      </c>
      <c r="H31" s="277">
        <f t="shared" si="1"/>
        <v>12.86</v>
      </c>
      <c r="I31" s="278">
        <f t="shared" si="2"/>
        <v>1.5780000000000001</v>
      </c>
      <c r="J31" s="279">
        <f t="shared" si="3"/>
        <v>20.292999999999999</v>
      </c>
      <c r="K31" s="273">
        <v>4</v>
      </c>
      <c r="L31" s="273">
        <v>321.5</v>
      </c>
    </row>
    <row r="32" spans="1:12" s="273" customFormat="1" ht="15">
      <c r="A32" s="748"/>
      <c r="B32" s="301">
        <f t="shared" si="4"/>
        <v>42</v>
      </c>
      <c r="C32" s="257">
        <v>16</v>
      </c>
      <c r="D32" s="275">
        <f t="shared" si="5"/>
        <v>1</v>
      </c>
      <c r="E32" s="275">
        <v>14</v>
      </c>
      <c r="F32" s="275">
        <f t="shared" si="0"/>
        <v>14</v>
      </c>
      <c r="G32" s="276">
        <v>3.3</v>
      </c>
      <c r="H32" s="277">
        <f t="shared" si="1"/>
        <v>46.2</v>
      </c>
      <c r="I32" s="278">
        <f t="shared" si="2"/>
        <v>1.5780000000000001</v>
      </c>
      <c r="J32" s="279">
        <f t="shared" si="3"/>
        <v>72.903999999999996</v>
      </c>
      <c r="K32" s="273">
        <v>14</v>
      </c>
      <c r="L32" s="273">
        <v>330</v>
      </c>
    </row>
    <row r="33" spans="1:12" s="273" customFormat="1" ht="15">
      <c r="A33" s="748"/>
      <c r="B33" s="301">
        <f t="shared" si="4"/>
        <v>43</v>
      </c>
      <c r="C33" s="257">
        <v>12</v>
      </c>
      <c r="D33" s="275">
        <f t="shared" si="5"/>
        <v>1</v>
      </c>
      <c r="E33" s="275">
        <v>5</v>
      </c>
      <c r="F33" s="275">
        <f t="shared" si="0"/>
        <v>5</v>
      </c>
      <c r="G33" s="276">
        <v>16.68</v>
      </c>
      <c r="H33" s="277">
        <f t="shared" si="1"/>
        <v>83.4</v>
      </c>
      <c r="I33" s="278">
        <f t="shared" si="2"/>
        <v>0.88800000000000001</v>
      </c>
      <c r="J33" s="279">
        <f t="shared" si="3"/>
        <v>74.058999999999997</v>
      </c>
      <c r="K33" s="273">
        <v>7</v>
      </c>
      <c r="L33" s="273">
        <v>1633</v>
      </c>
    </row>
    <row r="34" spans="1:12" s="273" customFormat="1" ht="15">
      <c r="A34" s="748"/>
      <c r="B34" s="301" t="s">
        <v>822</v>
      </c>
      <c r="C34" s="257">
        <v>12</v>
      </c>
      <c r="D34" s="275">
        <v>1</v>
      </c>
      <c r="E34" s="275">
        <v>2</v>
      </c>
      <c r="F34" s="275">
        <f t="shared" si="0"/>
        <v>2</v>
      </c>
      <c r="G34" s="276">
        <v>16.329999999999998</v>
      </c>
      <c r="H34" s="277">
        <f t="shared" si="1"/>
        <v>32.659999999999997</v>
      </c>
      <c r="I34" s="278">
        <f t="shared" si="2"/>
        <v>0.88800000000000001</v>
      </c>
      <c r="J34" s="279">
        <f t="shared" si="3"/>
        <v>29.001999999999999</v>
      </c>
    </row>
    <row r="35" spans="1:12" s="273" customFormat="1" ht="15">
      <c r="A35" s="748"/>
      <c r="B35" s="301">
        <f>+B33+1</f>
        <v>44</v>
      </c>
      <c r="C35" s="257">
        <v>12</v>
      </c>
      <c r="D35" s="275">
        <f>+D33</f>
        <v>1</v>
      </c>
      <c r="E35" s="275">
        <v>18</v>
      </c>
      <c r="F35" s="275">
        <f t="shared" si="0"/>
        <v>18</v>
      </c>
      <c r="G35" s="276">
        <v>18.45</v>
      </c>
      <c r="H35" s="277">
        <f t="shared" si="1"/>
        <v>332.1</v>
      </c>
      <c r="I35" s="278">
        <f t="shared" si="2"/>
        <v>0.88800000000000001</v>
      </c>
      <c r="J35" s="279">
        <f t="shared" si="3"/>
        <v>294.90499999999997</v>
      </c>
      <c r="K35" s="273">
        <v>18</v>
      </c>
      <c r="L35" s="273">
        <v>1845</v>
      </c>
    </row>
    <row r="36" spans="1:12" s="273" customFormat="1" ht="15">
      <c r="A36" s="748"/>
      <c r="B36" s="301">
        <f t="shared" si="4"/>
        <v>45</v>
      </c>
      <c r="C36" s="257">
        <v>12</v>
      </c>
      <c r="D36" s="275">
        <f t="shared" si="5"/>
        <v>1</v>
      </c>
      <c r="E36" s="275">
        <v>50</v>
      </c>
      <c r="F36" s="275">
        <f t="shared" si="0"/>
        <v>50</v>
      </c>
      <c r="G36" s="276">
        <v>1.87</v>
      </c>
      <c r="H36" s="277">
        <f t="shared" si="1"/>
        <v>93.5</v>
      </c>
      <c r="I36" s="278">
        <f t="shared" si="2"/>
        <v>0.88800000000000001</v>
      </c>
      <c r="J36" s="279">
        <f t="shared" si="3"/>
        <v>83.028000000000006</v>
      </c>
      <c r="K36" s="273">
        <v>50</v>
      </c>
      <c r="L36" s="273">
        <v>187</v>
      </c>
    </row>
    <row r="37" spans="1:12" s="273" customFormat="1" ht="15">
      <c r="A37" s="748"/>
      <c r="B37" s="301">
        <f t="shared" si="4"/>
        <v>46</v>
      </c>
      <c r="C37" s="257">
        <v>12</v>
      </c>
      <c r="D37" s="275">
        <f t="shared" si="5"/>
        <v>1</v>
      </c>
      <c r="E37" s="275">
        <v>50</v>
      </c>
      <c r="F37" s="275">
        <f t="shared" si="0"/>
        <v>50</v>
      </c>
      <c r="G37" s="276">
        <v>1.26</v>
      </c>
      <c r="H37" s="277">
        <f t="shared" si="1"/>
        <v>63</v>
      </c>
      <c r="I37" s="278">
        <f t="shared" si="2"/>
        <v>0.88800000000000001</v>
      </c>
      <c r="J37" s="279">
        <f t="shared" si="3"/>
        <v>55.944000000000003</v>
      </c>
      <c r="K37" s="273">
        <v>50</v>
      </c>
      <c r="L37" s="273">
        <v>126</v>
      </c>
    </row>
    <row r="38" spans="1:12" s="273" customFormat="1" ht="15">
      <c r="A38" s="748"/>
      <c r="B38" s="301">
        <f t="shared" si="4"/>
        <v>47</v>
      </c>
      <c r="C38" s="257">
        <v>12</v>
      </c>
      <c r="D38" s="275">
        <f t="shared" si="5"/>
        <v>1</v>
      </c>
      <c r="E38" s="275">
        <v>3</v>
      </c>
      <c r="F38" s="275">
        <f t="shared" si="0"/>
        <v>3</v>
      </c>
      <c r="G38" s="276">
        <v>1.48</v>
      </c>
      <c r="H38" s="277">
        <f t="shared" si="1"/>
        <v>4.4400000000000004</v>
      </c>
      <c r="I38" s="278">
        <f t="shared" si="2"/>
        <v>0.88800000000000001</v>
      </c>
      <c r="J38" s="279">
        <f t="shared" si="3"/>
        <v>3.9430000000000001</v>
      </c>
      <c r="K38" s="273">
        <v>4</v>
      </c>
      <c r="L38" s="273">
        <v>148</v>
      </c>
    </row>
    <row r="39" spans="1:12" s="273" customFormat="1" ht="15">
      <c r="A39" s="748"/>
      <c r="B39" s="301">
        <f t="shared" si="4"/>
        <v>48</v>
      </c>
      <c r="C39" s="257">
        <v>12</v>
      </c>
      <c r="D39" s="275">
        <f t="shared" si="5"/>
        <v>1</v>
      </c>
      <c r="E39" s="275">
        <v>9</v>
      </c>
      <c r="F39" s="275">
        <f t="shared" si="0"/>
        <v>9</v>
      </c>
      <c r="G39" s="276">
        <v>2.91</v>
      </c>
      <c r="H39" s="277">
        <f t="shared" si="1"/>
        <v>26.19</v>
      </c>
      <c r="I39" s="278">
        <f t="shared" si="2"/>
        <v>0.88800000000000001</v>
      </c>
      <c r="J39" s="279">
        <f t="shared" si="3"/>
        <v>23.257000000000001</v>
      </c>
      <c r="K39" s="273">
        <v>9</v>
      </c>
      <c r="L39" s="273">
        <v>291</v>
      </c>
    </row>
    <row r="40" spans="1:12" s="273" customFormat="1" ht="15">
      <c r="A40" s="748"/>
      <c r="B40" s="301">
        <f t="shared" si="4"/>
        <v>49</v>
      </c>
      <c r="C40" s="257">
        <v>12</v>
      </c>
      <c r="D40" s="275">
        <f t="shared" si="5"/>
        <v>1</v>
      </c>
      <c r="E40" s="275">
        <v>12</v>
      </c>
      <c r="F40" s="275">
        <f t="shared" si="0"/>
        <v>12</v>
      </c>
      <c r="G40" s="276">
        <v>4.45</v>
      </c>
      <c r="H40" s="277">
        <f t="shared" si="1"/>
        <v>53.4</v>
      </c>
      <c r="I40" s="278">
        <f t="shared" si="2"/>
        <v>0.88800000000000001</v>
      </c>
      <c r="J40" s="279">
        <f t="shared" si="3"/>
        <v>47.418999999999997</v>
      </c>
      <c r="K40" s="273">
        <v>12</v>
      </c>
      <c r="L40" s="273">
        <v>445</v>
      </c>
    </row>
    <row r="41" spans="1:12" s="273" customFormat="1" ht="15">
      <c r="A41" s="748"/>
      <c r="B41" s="301">
        <f t="shared" si="4"/>
        <v>50</v>
      </c>
      <c r="C41" s="257">
        <v>14</v>
      </c>
      <c r="D41" s="275">
        <f t="shared" si="5"/>
        <v>1</v>
      </c>
      <c r="E41" s="275">
        <v>5</v>
      </c>
      <c r="F41" s="275">
        <f t="shared" si="0"/>
        <v>5</v>
      </c>
      <c r="G41" s="276">
        <v>20.46</v>
      </c>
      <c r="H41" s="277">
        <f t="shared" si="1"/>
        <v>102.3</v>
      </c>
      <c r="I41" s="278">
        <f t="shared" si="2"/>
        <v>1.208</v>
      </c>
      <c r="J41" s="279">
        <f t="shared" si="3"/>
        <v>123.578</v>
      </c>
      <c r="K41" s="273">
        <v>7</v>
      </c>
      <c r="L41" s="273">
        <v>1994</v>
      </c>
    </row>
    <row r="42" spans="1:12" s="273" customFormat="1" ht="15">
      <c r="A42" s="748"/>
      <c r="B42" s="301" t="s">
        <v>805</v>
      </c>
      <c r="C42" s="257">
        <v>14</v>
      </c>
      <c r="D42" s="275">
        <f t="shared" si="5"/>
        <v>1</v>
      </c>
      <c r="E42" s="275">
        <v>2</v>
      </c>
      <c r="F42" s="275">
        <f t="shared" si="0"/>
        <v>2</v>
      </c>
      <c r="G42" s="276">
        <v>9.17</v>
      </c>
      <c r="H42" s="277">
        <f t="shared" si="1"/>
        <v>18.34</v>
      </c>
      <c r="I42" s="278">
        <f t="shared" si="2"/>
        <v>1.208</v>
      </c>
      <c r="J42" s="279">
        <f t="shared" si="3"/>
        <v>22.155000000000001</v>
      </c>
    </row>
    <row r="43" spans="1:12" s="273" customFormat="1" ht="15">
      <c r="A43" s="748"/>
      <c r="B43" s="301">
        <f>+B41+1</f>
        <v>51</v>
      </c>
      <c r="C43" s="257">
        <v>14</v>
      </c>
      <c r="D43" s="275">
        <f t="shared" si="5"/>
        <v>1</v>
      </c>
      <c r="E43" s="275">
        <v>18</v>
      </c>
      <c r="F43" s="275">
        <f t="shared" si="0"/>
        <v>18</v>
      </c>
      <c r="G43" s="276">
        <v>22.98</v>
      </c>
      <c r="H43" s="277">
        <f t="shared" si="1"/>
        <v>413.64</v>
      </c>
      <c r="I43" s="278">
        <f t="shared" si="2"/>
        <v>1.208</v>
      </c>
      <c r="J43" s="279">
        <f t="shared" si="3"/>
        <v>499.67700000000002</v>
      </c>
      <c r="K43" s="273">
        <v>18</v>
      </c>
      <c r="L43" s="273">
        <v>2298</v>
      </c>
    </row>
    <row r="44" spans="1:12" s="273" customFormat="1" ht="15">
      <c r="A44" s="748"/>
      <c r="B44" s="301">
        <f t="shared" si="4"/>
        <v>52</v>
      </c>
      <c r="C44" s="257">
        <v>14</v>
      </c>
      <c r="D44" s="275">
        <f t="shared" si="5"/>
        <v>1</v>
      </c>
      <c r="E44" s="275">
        <v>9</v>
      </c>
      <c r="F44" s="275">
        <f t="shared" si="0"/>
        <v>9</v>
      </c>
      <c r="G44" s="276">
        <v>6.71</v>
      </c>
      <c r="H44" s="277">
        <f t="shared" si="1"/>
        <v>60.39</v>
      </c>
      <c r="I44" s="278">
        <f t="shared" si="2"/>
        <v>1.208</v>
      </c>
      <c r="J44" s="279">
        <f t="shared" si="3"/>
        <v>72.950999999999993</v>
      </c>
      <c r="K44" s="273">
        <v>9</v>
      </c>
      <c r="L44" s="273">
        <v>671</v>
      </c>
    </row>
    <row r="45" spans="1:12" s="273" customFormat="1" ht="15">
      <c r="A45" s="748"/>
      <c r="B45" s="301">
        <f t="shared" si="4"/>
        <v>53</v>
      </c>
      <c r="C45" s="257">
        <v>18</v>
      </c>
      <c r="D45" s="275">
        <f t="shared" si="5"/>
        <v>1</v>
      </c>
      <c r="E45" s="275">
        <v>9</v>
      </c>
      <c r="F45" s="275">
        <f t="shared" si="0"/>
        <v>9</v>
      </c>
      <c r="G45" s="276">
        <v>2.85</v>
      </c>
      <c r="H45" s="277">
        <f t="shared" si="1"/>
        <v>25.65</v>
      </c>
      <c r="I45" s="278">
        <f t="shared" si="2"/>
        <v>1.998</v>
      </c>
      <c r="J45" s="279">
        <f t="shared" si="3"/>
        <v>51.249000000000002</v>
      </c>
      <c r="K45" s="273">
        <v>9</v>
      </c>
      <c r="L45" s="273">
        <v>285</v>
      </c>
    </row>
    <row r="46" spans="1:12" s="273" customFormat="1" ht="15">
      <c r="A46" s="748"/>
      <c r="B46" s="301">
        <f t="shared" si="4"/>
        <v>54</v>
      </c>
      <c r="C46" s="257">
        <v>18</v>
      </c>
      <c r="D46" s="275">
        <f t="shared" si="5"/>
        <v>1</v>
      </c>
      <c r="E46" s="275">
        <v>9</v>
      </c>
      <c r="F46" s="275">
        <f t="shared" si="0"/>
        <v>9</v>
      </c>
      <c r="G46" s="276">
        <v>3.02</v>
      </c>
      <c r="H46" s="277">
        <f t="shared" si="1"/>
        <v>27.18</v>
      </c>
      <c r="I46" s="278">
        <f t="shared" si="2"/>
        <v>1.998</v>
      </c>
      <c r="J46" s="279">
        <f t="shared" si="3"/>
        <v>54.305999999999997</v>
      </c>
      <c r="K46" s="273">
        <v>9</v>
      </c>
      <c r="L46" s="273">
        <v>302</v>
      </c>
    </row>
    <row r="47" spans="1:12" s="273" customFormat="1" ht="15">
      <c r="A47" s="748"/>
      <c r="B47" s="301" t="s">
        <v>760</v>
      </c>
      <c r="C47" s="257">
        <v>18</v>
      </c>
      <c r="D47" s="275">
        <f t="shared" si="5"/>
        <v>1</v>
      </c>
      <c r="E47" s="275">
        <v>9</v>
      </c>
      <c r="F47" s="275">
        <f t="shared" si="0"/>
        <v>9</v>
      </c>
      <c r="G47" s="276">
        <v>2.78</v>
      </c>
      <c r="H47" s="277">
        <f t="shared" si="1"/>
        <v>25.02</v>
      </c>
      <c r="I47" s="278">
        <f t="shared" si="2"/>
        <v>1.998</v>
      </c>
      <c r="J47" s="279">
        <f t="shared" si="3"/>
        <v>49.99</v>
      </c>
      <c r="K47" s="273">
        <v>9</v>
      </c>
      <c r="L47" s="273">
        <v>278</v>
      </c>
    </row>
    <row r="48" spans="1:12" s="273" customFormat="1" ht="15">
      <c r="A48" s="748"/>
      <c r="B48" s="301">
        <f>+B46+1</f>
        <v>55</v>
      </c>
      <c r="C48" s="257">
        <v>18</v>
      </c>
      <c r="D48" s="275">
        <f t="shared" si="5"/>
        <v>1</v>
      </c>
      <c r="E48" s="275">
        <v>17</v>
      </c>
      <c r="F48" s="275">
        <f t="shared" si="0"/>
        <v>17</v>
      </c>
      <c r="G48" s="276">
        <v>2.95</v>
      </c>
      <c r="H48" s="277">
        <f t="shared" si="1"/>
        <v>50.15</v>
      </c>
      <c r="I48" s="278">
        <f t="shared" si="2"/>
        <v>1.998</v>
      </c>
      <c r="J48" s="279">
        <f t="shared" si="3"/>
        <v>100.2</v>
      </c>
      <c r="K48" s="273">
        <v>17</v>
      </c>
      <c r="L48" s="273">
        <v>295</v>
      </c>
    </row>
    <row r="49" spans="1:12" s="273" customFormat="1" ht="15">
      <c r="A49" s="748"/>
      <c r="B49" s="301">
        <f t="shared" si="4"/>
        <v>56</v>
      </c>
      <c r="C49" s="257">
        <v>12</v>
      </c>
      <c r="D49" s="275">
        <f t="shared" si="5"/>
        <v>1</v>
      </c>
      <c r="E49" s="275">
        <v>2</v>
      </c>
      <c r="F49" s="275">
        <f t="shared" si="0"/>
        <v>2</v>
      </c>
      <c r="G49" s="276">
        <v>15.72</v>
      </c>
      <c r="H49" s="277">
        <f t="shared" si="1"/>
        <v>31.44</v>
      </c>
      <c r="I49" s="278">
        <f t="shared" si="2"/>
        <v>0.88800000000000001</v>
      </c>
      <c r="J49" s="279">
        <f t="shared" si="3"/>
        <v>27.919</v>
      </c>
      <c r="K49" s="273">
        <v>2</v>
      </c>
      <c r="L49" s="273">
        <v>1492</v>
      </c>
    </row>
    <row r="50" spans="1:12" s="273" customFormat="1" ht="15">
      <c r="A50" s="748"/>
      <c r="B50" s="301">
        <f t="shared" si="4"/>
        <v>57</v>
      </c>
      <c r="C50" s="257">
        <v>12</v>
      </c>
      <c r="D50" s="275">
        <f t="shared" si="5"/>
        <v>1</v>
      </c>
      <c r="E50" s="275">
        <v>2</v>
      </c>
      <c r="F50" s="275">
        <f t="shared" si="0"/>
        <v>2</v>
      </c>
      <c r="G50" s="276">
        <v>5.13</v>
      </c>
      <c r="H50" s="277">
        <f t="shared" si="1"/>
        <v>10.26</v>
      </c>
      <c r="I50" s="278">
        <f t="shared" si="2"/>
        <v>0.88800000000000001</v>
      </c>
      <c r="J50" s="279">
        <f t="shared" si="3"/>
        <v>9.1110000000000007</v>
      </c>
      <c r="K50" s="273">
        <v>2</v>
      </c>
      <c r="L50" s="273">
        <v>513</v>
      </c>
    </row>
    <row r="51" spans="1:12" s="273" customFormat="1" ht="15">
      <c r="A51" s="748"/>
      <c r="B51" s="301">
        <f t="shared" si="4"/>
        <v>58</v>
      </c>
      <c r="C51" s="257">
        <v>12</v>
      </c>
      <c r="D51" s="275">
        <f t="shared" si="5"/>
        <v>1</v>
      </c>
      <c r="E51" s="275">
        <v>5</v>
      </c>
      <c r="F51" s="275">
        <f t="shared" si="0"/>
        <v>5</v>
      </c>
      <c r="G51" s="276">
        <v>16.21</v>
      </c>
      <c r="H51" s="277">
        <f t="shared" si="1"/>
        <v>81.05</v>
      </c>
      <c r="I51" s="278">
        <f t="shared" si="2"/>
        <v>0.88800000000000001</v>
      </c>
      <c r="J51" s="279">
        <f t="shared" si="3"/>
        <v>71.971999999999994</v>
      </c>
      <c r="K51" s="273">
        <v>7</v>
      </c>
      <c r="L51" s="273">
        <v>1554.5</v>
      </c>
    </row>
    <row r="52" spans="1:12" s="273" customFormat="1" ht="15">
      <c r="A52" s="748"/>
      <c r="B52" s="301" t="s">
        <v>821</v>
      </c>
      <c r="C52" s="257">
        <v>12</v>
      </c>
      <c r="D52" s="275">
        <f t="shared" si="5"/>
        <v>1</v>
      </c>
      <c r="E52" s="275">
        <v>2</v>
      </c>
      <c r="F52" s="275">
        <f t="shared" si="0"/>
        <v>2</v>
      </c>
      <c r="G52" s="276">
        <v>9.69</v>
      </c>
      <c r="H52" s="277">
        <f t="shared" si="1"/>
        <v>19.38</v>
      </c>
      <c r="I52" s="278">
        <f t="shared" si="2"/>
        <v>0.88800000000000001</v>
      </c>
      <c r="J52" s="279">
        <f t="shared" si="3"/>
        <v>17.209</v>
      </c>
    </row>
    <row r="53" spans="1:12" s="273" customFormat="1" ht="15">
      <c r="A53" s="748"/>
      <c r="B53" s="301">
        <f>+B51+1</f>
        <v>59</v>
      </c>
      <c r="C53" s="257">
        <v>12</v>
      </c>
      <c r="D53" s="275">
        <f t="shared" si="5"/>
        <v>1</v>
      </c>
      <c r="E53" s="275">
        <v>18</v>
      </c>
      <c r="F53" s="275">
        <f t="shared" si="0"/>
        <v>18</v>
      </c>
      <c r="G53" s="276">
        <v>18.45</v>
      </c>
      <c r="H53" s="277">
        <f t="shared" si="1"/>
        <v>332.1</v>
      </c>
      <c r="I53" s="278">
        <f t="shared" si="2"/>
        <v>0.88800000000000001</v>
      </c>
      <c r="J53" s="279">
        <f t="shared" si="3"/>
        <v>294.90499999999997</v>
      </c>
      <c r="K53" s="273">
        <v>18</v>
      </c>
      <c r="L53" s="273">
        <v>1845</v>
      </c>
    </row>
    <row r="54" spans="1:12" s="273" customFormat="1" ht="15">
      <c r="A54" s="748"/>
      <c r="B54" s="301">
        <f t="shared" si="4"/>
        <v>60</v>
      </c>
      <c r="C54" s="257">
        <v>12</v>
      </c>
      <c r="D54" s="275">
        <f t="shared" si="5"/>
        <v>1</v>
      </c>
      <c r="E54" s="275">
        <v>3</v>
      </c>
      <c r="F54" s="275">
        <f t="shared" si="0"/>
        <v>3</v>
      </c>
      <c r="G54" s="276">
        <v>3.18</v>
      </c>
      <c r="H54" s="277">
        <f t="shared" si="1"/>
        <v>9.5399999999999991</v>
      </c>
      <c r="I54" s="278">
        <f t="shared" si="2"/>
        <v>0.88800000000000001</v>
      </c>
      <c r="J54" s="279">
        <f t="shared" si="3"/>
        <v>8.4719999999999995</v>
      </c>
      <c r="K54" s="273">
        <v>4</v>
      </c>
      <c r="L54" s="273">
        <v>318</v>
      </c>
    </row>
    <row r="55" spans="1:12" s="273" customFormat="1" ht="15">
      <c r="A55" s="748"/>
      <c r="B55" s="301">
        <f t="shared" si="4"/>
        <v>61</v>
      </c>
      <c r="C55" s="257">
        <v>12</v>
      </c>
      <c r="D55" s="275">
        <f t="shared" si="5"/>
        <v>1</v>
      </c>
      <c r="E55" s="275">
        <v>9</v>
      </c>
      <c r="F55" s="275">
        <f t="shared" si="0"/>
        <v>9</v>
      </c>
      <c r="G55" s="276">
        <v>5.57</v>
      </c>
      <c r="H55" s="277">
        <f t="shared" si="1"/>
        <v>50.13</v>
      </c>
      <c r="I55" s="278">
        <f t="shared" si="2"/>
        <v>0.88800000000000001</v>
      </c>
      <c r="J55" s="279">
        <f t="shared" si="3"/>
        <v>44.515000000000001</v>
      </c>
      <c r="K55" s="273">
        <v>9</v>
      </c>
      <c r="L55" s="273">
        <v>557</v>
      </c>
    </row>
    <row r="56" spans="1:12" s="273" customFormat="1" ht="15">
      <c r="A56" s="748"/>
      <c r="B56" s="301">
        <f t="shared" si="4"/>
        <v>62</v>
      </c>
      <c r="C56" s="257">
        <v>12</v>
      </c>
      <c r="D56" s="275">
        <f t="shared" si="5"/>
        <v>1</v>
      </c>
      <c r="E56" s="275">
        <v>12</v>
      </c>
      <c r="F56" s="275">
        <f t="shared" si="0"/>
        <v>12</v>
      </c>
      <c r="G56" s="276">
        <v>9.9600000000000009</v>
      </c>
      <c r="H56" s="277">
        <f t="shared" si="1"/>
        <v>119.52</v>
      </c>
      <c r="I56" s="278">
        <f t="shared" si="2"/>
        <v>0.88800000000000001</v>
      </c>
      <c r="J56" s="279">
        <f t="shared" si="3"/>
        <v>106.134</v>
      </c>
      <c r="K56" s="273">
        <v>12</v>
      </c>
      <c r="L56" s="273">
        <v>996</v>
      </c>
    </row>
    <row r="57" spans="1:12" s="273" customFormat="1" ht="15">
      <c r="A57" s="748"/>
      <c r="B57" s="301">
        <f t="shared" si="4"/>
        <v>63</v>
      </c>
      <c r="C57" s="257">
        <v>12</v>
      </c>
      <c r="D57" s="275">
        <f t="shared" si="5"/>
        <v>1</v>
      </c>
      <c r="E57" s="275">
        <v>216</v>
      </c>
      <c r="F57" s="275">
        <f t="shared" si="0"/>
        <v>216</v>
      </c>
      <c r="G57" s="276">
        <v>2.1800000000000002</v>
      </c>
      <c r="H57" s="277">
        <f t="shared" si="1"/>
        <v>470.88</v>
      </c>
      <c r="I57" s="278">
        <f t="shared" si="2"/>
        <v>0.88800000000000001</v>
      </c>
      <c r="J57" s="279">
        <f t="shared" si="3"/>
        <v>418.14100000000002</v>
      </c>
      <c r="K57" s="273">
        <v>216</v>
      </c>
      <c r="L57" s="273">
        <v>218</v>
      </c>
    </row>
    <row r="58" spans="1:12" s="273" customFormat="1" ht="15">
      <c r="A58" s="748"/>
      <c r="B58" s="301">
        <f t="shared" si="4"/>
        <v>64</v>
      </c>
      <c r="C58" s="257">
        <v>12</v>
      </c>
      <c r="D58" s="275">
        <f t="shared" si="5"/>
        <v>1</v>
      </c>
      <c r="E58" s="275">
        <v>222</v>
      </c>
      <c r="F58" s="275">
        <f t="shared" si="0"/>
        <v>222</v>
      </c>
      <c r="G58" s="276">
        <v>1.39</v>
      </c>
      <c r="H58" s="277">
        <f t="shared" si="1"/>
        <v>308.58</v>
      </c>
      <c r="I58" s="278">
        <f t="shared" si="2"/>
        <v>0.88800000000000001</v>
      </c>
      <c r="J58" s="279">
        <f t="shared" si="3"/>
        <v>274.01900000000001</v>
      </c>
      <c r="K58" s="273">
        <v>222</v>
      </c>
      <c r="L58" s="273">
        <v>139</v>
      </c>
    </row>
    <row r="59" spans="1:12" s="273" customFormat="1" ht="15">
      <c r="A59" s="748"/>
      <c r="B59" s="301">
        <f t="shared" si="4"/>
        <v>65</v>
      </c>
      <c r="C59" s="257">
        <v>12</v>
      </c>
      <c r="D59" s="275">
        <f t="shared" si="5"/>
        <v>1</v>
      </c>
      <c r="E59" s="275">
        <v>80</v>
      </c>
      <c r="F59" s="275">
        <f t="shared" si="0"/>
        <v>80</v>
      </c>
      <c r="G59" s="276">
        <v>1.9</v>
      </c>
      <c r="H59" s="277">
        <f t="shared" si="1"/>
        <v>152</v>
      </c>
      <c r="I59" s="278">
        <f t="shared" si="2"/>
        <v>0.88800000000000001</v>
      </c>
      <c r="J59" s="279">
        <f t="shared" si="3"/>
        <v>134.976</v>
      </c>
      <c r="K59" s="273">
        <v>80</v>
      </c>
      <c r="L59" s="273">
        <v>190</v>
      </c>
    </row>
    <row r="60" spans="1:12" s="273" customFormat="1" ht="15">
      <c r="A60" s="748"/>
      <c r="B60" s="301">
        <f t="shared" si="4"/>
        <v>66</v>
      </c>
      <c r="C60" s="257">
        <v>18</v>
      </c>
      <c r="D60" s="275">
        <f t="shared" si="5"/>
        <v>1</v>
      </c>
      <c r="E60" s="275">
        <v>68</v>
      </c>
      <c r="F60" s="275">
        <f t="shared" si="0"/>
        <v>68</v>
      </c>
      <c r="G60" s="276">
        <v>1.92</v>
      </c>
      <c r="H60" s="277">
        <f t="shared" si="1"/>
        <v>130.56</v>
      </c>
      <c r="I60" s="278">
        <f t="shared" si="2"/>
        <v>1.998</v>
      </c>
      <c r="J60" s="279">
        <f t="shared" si="3"/>
        <v>260.85899999999998</v>
      </c>
      <c r="K60" s="273">
        <v>68</v>
      </c>
      <c r="L60" s="273">
        <v>192</v>
      </c>
    </row>
    <row r="61" spans="1:12" s="273" customFormat="1" ht="15">
      <c r="A61" s="748"/>
      <c r="B61" s="301">
        <f t="shared" si="4"/>
        <v>67</v>
      </c>
      <c r="C61" s="257">
        <v>12</v>
      </c>
      <c r="D61" s="275">
        <f t="shared" si="5"/>
        <v>1</v>
      </c>
      <c r="E61" s="275">
        <v>6</v>
      </c>
      <c r="F61" s="275">
        <f t="shared" si="0"/>
        <v>6</v>
      </c>
      <c r="G61" s="276">
        <v>6.65</v>
      </c>
      <c r="H61" s="277">
        <f t="shared" si="1"/>
        <v>39.9</v>
      </c>
      <c r="I61" s="278">
        <f t="shared" si="2"/>
        <v>0.88800000000000001</v>
      </c>
      <c r="J61" s="279">
        <f t="shared" si="3"/>
        <v>35.430999999999997</v>
      </c>
      <c r="K61" s="273">
        <v>6</v>
      </c>
      <c r="L61" s="273">
        <v>665</v>
      </c>
    </row>
    <row r="62" spans="1:12" s="273" customFormat="1" ht="25.5" customHeight="1">
      <c r="A62" s="748" t="s">
        <v>761</v>
      </c>
      <c r="B62" s="301">
        <v>70</v>
      </c>
      <c r="C62" s="257">
        <v>14</v>
      </c>
      <c r="D62" s="275">
        <v>2</v>
      </c>
      <c r="E62" s="275">
        <v>32</v>
      </c>
      <c r="F62" s="275">
        <f t="shared" si="0"/>
        <v>64</v>
      </c>
      <c r="G62" s="276">
        <v>1.23</v>
      </c>
      <c r="H62" s="277">
        <f>ROUND(F62*G62,3)</f>
        <v>78.72</v>
      </c>
      <c r="I62" s="278">
        <f t="shared" si="2"/>
        <v>1.208</v>
      </c>
      <c r="J62" s="279">
        <f t="shared" si="3"/>
        <v>95.093999999999994</v>
      </c>
    </row>
    <row r="63" spans="1:12" s="273" customFormat="1" ht="25.5" customHeight="1">
      <c r="A63" s="748"/>
      <c r="B63" s="301">
        <v>71</v>
      </c>
      <c r="C63" s="257">
        <v>16</v>
      </c>
      <c r="D63" s="275">
        <v>2</v>
      </c>
      <c r="E63" s="275">
        <v>7</v>
      </c>
      <c r="F63" s="275">
        <f t="shared" si="0"/>
        <v>14</v>
      </c>
      <c r="G63" s="276">
        <v>2.9</v>
      </c>
      <c r="H63" s="277">
        <f>ROUND(F63*G63,3)</f>
        <v>40.6</v>
      </c>
      <c r="I63" s="278">
        <f t="shared" si="2"/>
        <v>1.5780000000000001</v>
      </c>
      <c r="J63" s="279">
        <f t="shared" si="3"/>
        <v>64.066999999999993</v>
      </c>
      <c r="K63" s="280"/>
    </row>
    <row r="64" spans="1:12" s="273" customFormat="1" ht="15">
      <c r="A64" s="261"/>
      <c r="B64" s="394"/>
      <c r="C64" s="395"/>
      <c r="D64" s="284"/>
      <c r="E64" s="284"/>
      <c r="F64" s="284"/>
      <c r="G64" s="285"/>
      <c r="H64" s="286"/>
      <c r="I64" s="287"/>
      <c r="J64" s="288"/>
    </row>
    <row r="65" spans="1:11" s="291" customFormat="1" ht="15">
      <c r="A65" s="261"/>
      <c r="B65" s="289" t="s">
        <v>473</v>
      </c>
      <c r="C65" s="284"/>
      <c r="D65" s="284"/>
      <c r="E65" s="284"/>
      <c r="F65" s="290"/>
      <c r="G65" s="285"/>
      <c r="H65" s="286"/>
      <c r="I65" s="287"/>
      <c r="K65" s="286"/>
    </row>
    <row r="66" spans="1:11" s="291" customFormat="1" ht="15">
      <c r="A66" s="261"/>
      <c r="B66" s="292" t="s">
        <v>754</v>
      </c>
      <c r="C66" s="284"/>
      <c r="D66" s="284"/>
      <c r="F66" s="293">
        <f>SUMIF($C$6:$C$63,12,$J$6:$J$63)</f>
        <v>2085.6099999999997</v>
      </c>
      <c r="G66" s="294" t="s">
        <v>273</v>
      </c>
      <c r="I66" s="287"/>
      <c r="K66" s="295"/>
    </row>
    <row r="67" spans="1:11" s="291" customFormat="1" ht="15">
      <c r="A67" s="261"/>
      <c r="B67" s="292" t="s">
        <v>476</v>
      </c>
      <c r="C67" s="284"/>
      <c r="D67" s="284"/>
      <c r="F67" s="293">
        <f>SUMIF($C$6:$C$63,14,$J$6:$J$63)</f>
        <v>1359.145</v>
      </c>
      <c r="G67" s="294" t="s">
        <v>273</v>
      </c>
      <c r="I67" s="287"/>
      <c r="K67" s="295"/>
    </row>
    <row r="68" spans="1:11" s="291" customFormat="1" ht="15">
      <c r="A68" s="261"/>
      <c r="B68" s="292" t="s">
        <v>741</v>
      </c>
      <c r="C68" s="284"/>
      <c r="D68" s="284"/>
      <c r="F68" s="293">
        <f>SUMIF($C$6:$C$63,16,$J$6:$J$63)</f>
        <v>1921.271</v>
      </c>
      <c r="G68" s="294" t="s">
        <v>273</v>
      </c>
      <c r="I68" s="287"/>
      <c r="K68" s="295"/>
    </row>
    <row r="69" spans="1:11" s="291" customFormat="1" ht="15">
      <c r="A69" s="261"/>
      <c r="B69" s="292" t="s">
        <v>742</v>
      </c>
      <c r="C69" s="284"/>
      <c r="D69" s="284"/>
      <c r="F69" s="293">
        <f>SUMIF($C$6:$C$63,18,$J$6:$J$63)</f>
        <v>3265.3429999999989</v>
      </c>
      <c r="G69" s="294" t="s">
        <v>273</v>
      </c>
      <c r="I69" s="287"/>
      <c r="K69" s="295"/>
    </row>
    <row r="70" spans="1:11" s="291" customFormat="1" ht="15">
      <c r="A70" s="261"/>
      <c r="B70" s="292"/>
      <c r="C70" s="284"/>
      <c r="D70" s="284"/>
      <c r="F70" s="293"/>
      <c r="G70" s="294"/>
      <c r="I70" s="287"/>
      <c r="K70" s="295"/>
    </row>
    <row r="71" spans="1:11" s="291" customFormat="1" ht="15">
      <c r="A71" s="261"/>
      <c r="B71" s="292"/>
      <c r="C71" s="284"/>
      <c r="D71" s="284"/>
      <c r="F71" s="293"/>
      <c r="G71" s="294"/>
      <c r="I71" s="287"/>
      <c r="K71" s="295"/>
    </row>
    <row r="72" spans="1:11" s="291" customFormat="1" ht="15">
      <c r="A72" s="261"/>
      <c r="B72" s="292"/>
      <c r="C72" s="284"/>
      <c r="D72" s="284"/>
      <c r="F72" s="293"/>
      <c r="G72" s="294"/>
      <c r="I72" s="287"/>
      <c r="K72" s="295"/>
    </row>
    <row r="73" spans="1:11" s="291" customFormat="1" ht="15">
      <c r="A73" s="261"/>
      <c r="B73" s="292"/>
      <c r="C73" s="284"/>
      <c r="D73" s="284"/>
      <c r="F73" s="293"/>
      <c r="G73" s="294"/>
      <c r="I73" s="287"/>
      <c r="K73" s="295"/>
    </row>
    <row r="74" spans="1:11" s="291" customFormat="1" ht="15">
      <c r="A74" s="261"/>
      <c r="B74" s="292"/>
      <c r="C74" s="284"/>
      <c r="D74" s="284"/>
      <c r="F74" s="293"/>
      <c r="G74" s="294"/>
      <c r="I74" s="287"/>
      <c r="K74" s="295"/>
    </row>
    <row r="75" spans="1:11" s="262" customFormat="1">
      <c r="A75" s="261"/>
      <c r="D75" s="260" t="s">
        <v>460</v>
      </c>
      <c r="E75" s="296"/>
      <c r="G75" s="297"/>
      <c r="H75" s="286"/>
      <c r="I75" s="260" t="s">
        <v>747</v>
      </c>
    </row>
    <row r="76" spans="1:11" s="262" customFormat="1">
      <c r="A76" s="261"/>
      <c r="B76" s="297"/>
      <c r="C76" s="296"/>
      <c r="D76" s="296"/>
      <c r="E76" s="296"/>
      <c r="F76" s="296"/>
      <c r="G76" s="296"/>
      <c r="H76" s="286"/>
      <c r="I76" s="260"/>
      <c r="J76" s="260"/>
    </row>
    <row r="77" spans="1:11" s="262" customFormat="1">
      <c r="A77" s="261"/>
      <c r="B77" s="297"/>
      <c r="C77" s="296"/>
      <c r="D77" s="296"/>
      <c r="E77" s="296"/>
      <c r="F77" s="296"/>
      <c r="G77" s="296"/>
      <c r="H77" s="286"/>
      <c r="I77" s="260"/>
      <c r="J77" s="260"/>
      <c r="K77" s="262" t="s">
        <v>475</v>
      </c>
    </row>
    <row r="78" spans="1:11" s="262" customFormat="1">
      <c r="A78" s="261"/>
      <c r="B78" s="297"/>
      <c r="C78" s="296"/>
      <c r="D78" s="296"/>
      <c r="E78" s="296"/>
      <c r="F78" s="296"/>
      <c r="G78" s="296"/>
      <c r="H78" s="286"/>
      <c r="I78" s="260"/>
      <c r="J78" s="260"/>
    </row>
    <row r="79" spans="1:11" s="262" customFormat="1">
      <c r="A79" s="261"/>
      <c r="B79" s="297"/>
      <c r="C79" s="296"/>
      <c r="D79" s="296"/>
      <c r="E79" s="296"/>
      <c r="F79" s="296"/>
      <c r="G79" s="296"/>
      <c r="H79" s="286"/>
      <c r="I79" s="260"/>
      <c r="J79" s="259"/>
    </row>
    <row r="80" spans="1:11" s="262" customFormat="1">
      <c r="A80" s="261"/>
      <c r="D80" s="297" t="s">
        <v>744</v>
      </c>
      <c r="E80" s="298"/>
      <c r="G80" s="297"/>
      <c r="H80" s="286"/>
      <c r="I80" s="260" t="s">
        <v>746</v>
      </c>
      <c r="J80" s="259"/>
    </row>
    <row r="84" spans="1:10" s="262" customFormat="1" ht="15">
      <c r="A84" s="261"/>
      <c r="B84" s="284"/>
      <c r="C84" s="284"/>
      <c r="D84" s="284"/>
      <c r="E84" s="284"/>
      <c r="F84" s="284"/>
      <c r="G84" s="285"/>
      <c r="H84" s="286"/>
      <c r="I84" s="287"/>
      <c r="J84" s="288"/>
    </row>
    <row r="85" spans="1:10" s="262" customFormat="1" ht="15">
      <c r="A85" s="261"/>
      <c r="B85" s="284"/>
      <c r="C85" s="284"/>
      <c r="D85" s="284"/>
      <c r="E85" s="284"/>
      <c r="F85" s="284"/>
      <c r="G85" s="285"/>
      <c r="H85" s="286"/>
      <c r="I85" s="287"/>
      <c r="J85" s="288"/>
    </row>
    <row r="86" spans="1:10" s="262" customFormat="1" ht="15">
      <c r="A86" s="261"/>
      <c r="B86" s="284"/>
      <c r="C86" s="284"/>
      <c r="D86" s="284"/>
      <c r="E86" s="284"/>
      <c r="F86" s="284"/>
      <c r="G86" s="285"/>
      <c r="H86" s="286"/>
      <c r="I86" s="287"/>
      <c r="J86" s="288"/>
    </row>
    <row r="87" spans="1:10" s="262" customFormat="1" ht="15">
      <c r="A87" s="261"/>
      <c r="B87" s="284"/>
      <c r="C87" s="284"/>
      <c r="D87" s="284"/>
      <c r="E87" s="284"/>
      <c r="F87" s="284"/>
      <c r="G87" s="285"/>
      <c r="H87" s="286"/>
      <c r="I87" s="287"/>
      <c r="J87" s="288"/>
    </row>
    <row r="88" spans="1:10" s="262" customFormat="1" ht="15">
      <c r="A88" s="261"/>
      <c r="B88" s="284"/>
      <c r="C88" s="284"/>
      <c r="D88" s="284"/>
      <c r="E88" s="284"/>
      <c r="F88" s="284"/>
      <c r="G88" s="285"/>
      <c r="H88" s="286"/>
      <c r="I88" s="287"/>
      <c r="J88" s="288"/>
    </row>
    <row r="89" spans="1:10" s="262" customFormat="1" ht="15">
      <c r="A89" s="261"/>
      <c r="B89" s="284"/>
      <c r="C89" s="284"/>
      <c r="D89" s="284"/>
      <c r="E89" s="284"/>
      <c r="F89" s="284"/>
      <c r="G89" s="285"/>
      <c r="H89" s="286"/>
      <c r="I89" s="287"/>
      <c r="J89" s="288"/>
    </row>
  </sheetData>
  <mergeCells count="9">
    <mergeCell ref="A6:A61"/>
    <mergeCell ref="A62:A63"/>
    <mergeCell ref="I3:J3"/>
    <mergeCell ref="A4:A5"/>
    <mergeCell ref="B4:B5"/>
    <mergeCell ref="C4:C5"/>
    <mergeCell ref="D4:D5"/>
    <mergeCell ref="I4:I5"/>
    <mergeCell ref="J4:J5"/>
  </mergeCells>
  <pageMargins left="0.7" right="0.16"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sheetPr>
    <tabColor rgb="FF00B050"/>
  </sheetPr>
  <dimension ref="A1:K42"/>
  <sheetViews>
    <sheetView topLeftCell="A4" workbookViewId="0">
      <selection activeCell="F20" sqref="F20"/>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customWidth="1"/>
    <col min="14" max="14" width="15" style="269" bestFit="1" customWidth="1"/>
    <col min="15" max="16384" width="9.140625" style="269"/>
  </cols>
  <sheetData>
    <row r="1" spans="1:11" s="266" customFormat="1" ht="22.5">
      <c r="A1" s="263" t="s">
        <v>864</v>
      </c>
      <c r="B1" s="264"/>
      <c r="C1" s="264"/>
      <c r="D1" s="264"/>
      <c r="E1" s="264"/>
      <c r="F1" s="264"/>
      <c r="G1" s="264"/>
      <c r="H1" s="264"/>
      <c r="I1" s="264"/>
      <c r="J1" s="265"/>
    </row>
    <row r="2" spans="1:11" s="266" customFormat="1" ht="20.25">
      <c r="A2" s="264"/>
      <c r="B2" s="264"/>
      <c r="C2" s="264"/>
      <c r="D2" s="264"/>
      <c r="E2" s="264"/>
      <c r="F2" s="392" t="s">
        <v>743</v>
      </c>
      <c r="G2" s="264"/>
      <c r="H2" s="264"/>
      <c r="I2" s="264"/>
      <c r="J2" s="265"/>
    </row>
    <row r="3" spans="1:11" ht="16.5">
      <c r="A3" s="267"/>
      <c r="I3" s="749"/>
      <c r="J3" s="749"/>
    </row>
    <row r="4" spans="1:11" s="273" customFormat="1" ht="23.25" customHeight="1">
      <c r="A4" s="750" t="s">
        <v>462</v>
      </c>
      <c r="B4" s="750" t="s">
        <v>463</v>
      </c>
      <c r="C4" s="750" t="s">
        <v>464</v>
      </c>
      <c r="D4" s="753" t="s">
        <v>465</v>
      </c>
      <c r="E4" s="755" t="s">
        <v>466</v>
      </c>
      <c r="F4" s="756"/>
      <c r="G4" s="757" t="s">
        <v>467</v>
      </c>
      <c r="H4" s="758"/>
      <c r="I4" s="753" t="s">
        <v>468</v>
      </c>
      <c r="J4" s="750" t="s">
        <v>469</v>
      </c>
    </row>
    <row r="5" spans="1:11" s="273" customFormat="1" ht="20.25" customHeight="1">
      <c r="A5" s="751"/>
      <c r="B5" s="752"/>
      <c r="C5" s="751"/>
      <c r="D5" s="754"/>
      <c r="E5" s="498" t="s">
        <v>470</v>
      </c>
      <c r="F5" s="498" t="s">
        <v>471</v>
      </c>
      <c r="G5" s="498" t="s">
        <v>472</v>
      </c>
      <c r="H5" s="498" t="s">
        <v>471</v>
      </c>
      <c r="I5" s="754"/>
      <c r="J5" s="751"/>
    </row>
    <row r="6" spans="1:11" s="273" customFormat="1" ht="15">
      <c r="A6" s="748" t="s">
        <v>865</v>
      </c>
      <c r="B6" s="301">
        <v>7</v>
      </c>
      <c r="C6" s="257">
        <v>18</v>
      </c>
      <c r="D6" s="275">
        <v>2</v>
      </c>
      <c r="E6" s="515">
        <v>10</v>
      </c>
      <c r="F6" s="275">
        <f t="shared" ref="F6:F17" si="0">D6*E6</f>
        <v>20</v>
      </c>
      <c r="G6" s="276">
        <v>7.01</v>
      </c>
      <c r="H6" s="277">
        <f t="shared" ref="H6:H17" si="1">ROUND(F6*G6,3)</f>
        <v>140.19999999999999</v>
      </c>
      <c r="I6" s="278">
        <f t="shared" ref="I6:I17" si="2">ROUND(3.1416*(C6/1000)^2/4*7850*1,3)</f>
        <v>1.998</v>
      </c>
      <c r="J6" s="517">
        <f t="shared" ref="J6:J17" si="3">ROUND(H6*I6,3)</f>
        <v>280.12</v>
      </c>
      <c r="K6" s="512"/>
    </row>
    <row r="7" spans="1:11" s="273" customFormat="1" ht="15">
      <c r="A7" s="748"/>
      <c r="B7" s="301">
        <v>8</v>
      </c>
      <c r="C7" s="257">
        <v>18</v>
      </c>
      <c r="D7" s="275">
        <f t="shared" ref="D7:D17" si="4">+D6</f>
        <v>2</v>
      </c>
      <c r="E7" s="275">
        <v>10</v>
      </c>
      <c r="F7" s="275">
        <f t="shared" si="0"/>
        <v>20</v>
      </c>
      <c r="G7" s="276">
        <v>4.4000000000000004</v>
      </c>
      <c r="H7" s="277">
        <f t="shared" si="1"/>
        <v>88</v>
      </c>
      <c r="I7" s="278">
        <f t="shared" si="2"/>
        <v>1.998</v>
      </c>
      <c r="J7" s="279">
        <f t="shared" si="3"/>
        <v>175.82400000000001</v>
      </c>
      <c r="K7" s="512"/>
    </row>
    <row r="8" spans="1:11" s="273" customFormat="1" ht="15">
      <c r="A8" s="748"/>
      <c r="B8" s="301">
        <v>9</v>
      </c>
      <c r="C8" s="257">
        <v>12</v>
      </c>
      <c r="D8" s="275">
        <f t="shared" si="4"/>
        <v>2</v>
      </c>
      <c r="E8" s="275">
        <v>58</v>
      </c>
      <c r="F8" s="275">
        <f t="shared" si="0"/>
        <v>116</v>
      </c>
      <c r="G8" s="516">
        <f>2.38+0.3</f>
        <v>2.6799999999999997</v>
      </c>
      <c r="H8" s="277">
        <f t="shared" si="1"/>
        <v>310.88</v>
      </c>
      <c r="I8" s="278">
        <f t="shared" si="2"/>
        <v>0.88800000000000001</v>
      </c>
      <c r="J8" s="517">
        <f t="shared" si="3"/>
        <v>276.06099999999998</v>
      </c>
      <c r="K8" s="512"/>
    </row>
    <row r="9" spans="1:11" s="273" customFormat="1" ht="15">
      <c r="A9" s="748"/>
      <c r="B9" s="301">
        <v>10</v>
      </c>
      <c r="C9" s="257">
        <v>12</v>
      </c>
      <c r="D9" s="275">
        <f t="shared" si="4"/>
        <v>2</v>
      </c>
      <c r="E9" s="275">
        <v>10</v>
      </c>
      <c r="F9" s="275">
        <f t="shared" si="0"/>
        <v>20</v>
      </c>
      <c r="G9" s="516">
        <f>3.6+0.3</f>
        <v>3.9</v>
      </c>
      <c r="H9" s="277">
        <f t="shared" si="1"/>
        <v>78</v>
      </c>
      <c r="I9" s="278">
        <f t="shared" si="2"/>
        <v>0.88800000000000001</v>
      </c>
      <c r="J9" s="517">
        <f t="shared" si="3"/>
        <v>69.263999999999996</v>
      </c>
      <c r="K9" s="512"/>
    </row>
    <row r="10" spans="1:11" s="273" customFormat="1" ht="15">
      <c r="A10" s="748"/>
      <c r="B10" s="301">
        <v>11</v>
      </c>
      <c r="C10" s="257">
        <v>12</v>
      </c>
      <c r="D10" s="275">
        <f t="shared" si="4"/>
        <v>2</v>
      </c>
      <c r="E10" s="515">
        <v>10</v>
      </c>
      <c r="F10" s="275">
        <f t="shared" si="0"/>
        <v>20</v>
      </c>
      <c r="G10" s="276">
        <v>6.9</v>
      </c>
      <c r="H10" s="277">
        <f t="shared" si="1"/>
        <v>138</v>
      </c>
      <c r="I10" s="278">
        <f t="shared" si="2"/>
        <v>0.88800000000000001</v>
      </c>
      <c r="J10" s="517">
        <f t="shared" si="3"/>
        <v>122.544</v>
      </c>
      <c r="K10" s="512"/>
    </row>
    <row r="11" spans="1:11" s="273" customFormat="1" ht="15">
      <c r="A11" s="748"/>
      <c r="B11" s="301">
        <v>12</v>
      </c>
      <c r="C11" s="257">
        <v>12</v>
      </c>
      <c r="D11" s="275">
        <f t="shared" si="4"/>
        <v>2</v>
      </c>
      <c r="E11" s="275">
        <v>10</v>
      </c>
      <c r="F11" s="275">
        <f t="shared" si="0"/>
        <v>20</v>
      </c>
      <c r="G11" s="276">
        <v>4.34</v>
      </c>
      <c r="H11" s="277">
        <f t="shared" si="1"/>
        <v>86.8</v>
      </c>
      <c r="I11" s="278">
        <f t="shared" si="2"/>
        <v>0.88800000000000001</v>
      </c>
      <c r="J11" s="279">
        <f t="shared" si="3"/>
        <v>77.078000000000003</v>
      </c>
      <c r="K11" s="512"/>
    </row>
    <row r="12" spans="1:11" s="273" customFormat="1" ht="15">
      <c r="A12" s="748"/>
      <c r="B12" s="301">
        <v>13</v>
      </c>
      <c r="C12" s="257">
        <v>10</v>
      </c>
      <c r="D12" s="275">
        <v>2</v>
      </c>
      <c r="E12" s="515">
        <v>8</v>
      </c>
      <c r="F12" s="515">
        <f t="shared" si="0"/>
        <v>16</v>
      </c>
      <c r="G12" s="276">
        <v>5.4</v>
      </c>
      <c r="H12" s="277">
        <f t="shared" si="1"/>
        <v>86.4</v>
      </c>
      <c r="I12" s="278">
        <f t="shared" si="2"/>
        <v>0.61699999999999999</v>
      </c>
      <c r="J12" s="514">
        <f t="shared" si="3"/>
        <v>53.308999999999997</v>
      </c>
      <c r="K12" s="513"/>
    </row>
    <row r="13" spans="1:11" s="273" customFormat="1" ht="15">
      <c r="A13" s="748"/>
      <c r="B13" s="301">
        <v>14</v>
      </c>
      <c r="C13" s="257">
        <v>10</v>
      </c>
      <c r="D13" s="275">
        <f t="shared" si="4"/>
        <v>2</v>
      </c>
      <c r="E13" s="275">
        <v>18</v>
      </c>
      <c r="F13" s="275">
        <f t="shared" si="0"/>
        <v>36</v>
      </c>
      <c r="G13" s="276">
        <v>4.1100000000000003</v>
      </c>
      <c r="H13" s="277">
        <f t="shared" si="1"/>
        <v>147.96</v>
      </c>
      <c r="I13" s="278">
        <f t="shared" si="2"/>
        <v>0.61699999999999999</v>
      </c>
      <c r="J13" s="279">
        <f t="shared" si="3"/>
        <v>91.290999999999997</v>
      </c>
      <c r="K13" s="513"/>
    </row>
    <row r="14" spans="1:11" s="273" customFormat="1" ht="15">
      <c r="A14" s="748"/>
      <c r="B14" s="301">
        <v>15</v>
      </c>
      <c r="C14" s="257">
        <v>16</v>
      </c>
      <c r="D14" s="275">
        <f t="shared" si="4"/>
        <v>2</v>
      </c>
      <c r="E14" s="275">
        <v>16</v>
      </c>
      <c r="F14" s="275">
        <f t="shared" si="0"/>
        <v>32</v>
      </c>
      <c r="G14" s="516">
        <f>2.5+0.3</f>
        <v>2.8</v>
      </c>
      <c r="H14" s="277">
        <f t="shared" si="1"/>
        <v>89.6</v>
      </c>
      <c r="I14" s="278">
        <f t="shared" si="2"/>
        <v>1.5780000000000001</v>
      </c>
      <c r="J14" s="517">
        <f t="shared" si="3"/>
        <v>141.38900000000001</v>
      </c>
      <c r="K14" s="513"/>
    </row>
    <row r="15" spans="1:11" s="273" customFormat="1" ht="15">
      <c r="A15" s="748"/>
      <c r="B15" s="301">
        <v>16</v>
      </c>
      <c r="C15" s="257">
        <v>16</v>
      </c>
      <c r="D15" s="275">
        <f t="shared" si="4"/>
        <v>2</v>
      </c>
      <c r="E15" s="275">
        <v>12</v>
      </c>
      <c r="F15" s="275">
        <f t="shared" si="0"/>
        <v>24</v>
      </c>
      <c r="G15" s="516">
        <f>1.21+0.3</f>
        <v>1.51</v>
      </c>
      <c r="H15" s="277">
        <f t="shared" si="1"/>
        <v>36.24</v>
      </c>
      <c r="I15" s="278">
        <f t="shared" si="2"/>
        <v>1.5780000000000001</v>
      </c>
      <c r="J15" s="517">
        <f t="shared" si="3"/>
        <v>57.186999999999998</v>
      </c>
      <c r="K15" s="513"/>
    </row>
    <row r="16" spans="1:11" s="273" customFormat="1" ht="15">
      <c r="A16" s="748"/>
      <c r="B16" s="301">
        <v>17</v>
      </c>
      <c r="C16" s="257">
        <v>10</v>
      </c>
      <c r="D16" s="275">
        <f t="shared" si="4"/>
        <v>2</v>
      </c>
      <c r="E16" s="275">
        <v>16</v>
      </c>
      <c r="F16" s="275">
        <f t="shared" si="0"/>
        <v>32</v>
      </c>
      <c r="G16" s="516">
        <f>2.5+0.3</f>
        <v>2.8</v>
      </c>
      <c r="H16" s="277">
        <f t="shared" si="1"/>
        <v>89.6</v>
      </c>
      <c r="I16" s="278">
        <f t="shared" si="2"/>
        <v>0.61699999999999999</v>
      </c>
      <c r="J16" s="517">
        <f t="shared" si="3"/>
        <v>55.283000000000001</v>
      </c>
      <c r="K16" s="513"/>
    </row>
    <row r="17" spans="1:11" s="273" customFormat="1" ht="15">
      <c r="A17" s="748"/>
      <c r="B17" s="301">
        <v>18</v>
      </c>
      <c r="C17" s="257">
        <v>10</v>
      </c>
      <c r="D17" s="275">
        <f t="shared" si="4"/>
        <v>2</v>
      </c>
      <c r="E17" s="275">
        <v>12</v>
      </c>
      <c r="F17" s="275">
        <f t="shared" si="0"/>
        <v>24</v>
      </c>
      <c r="G17" s="516">
        <f>1.21+0.3</f>
        <v>1.51</v>
      </c>
      <c r="H17" s="277">
        <f t="shared" si="1"/>
        <v>36.24</v>
      </c>
      <c r="I17" s="278">
        <f t="shared" si="2"/>
        <v>0.61699999999999999</v>
      </c>
      <c r="J17" s="517">
        <f t="shared" si="3"/>
        <v>22.36</v>
      </c>
    </row>
    <row r="18" spans="1:11" s="262" customFormat="1" ht="15">
      <c r="A18" s="261"/>
      <c r="B18" s="284"/>
      <c r="C18" s="284"/>
      <c r="D18" s="284"/>
      <c r="E18" s="284"/>
      <c r="F18" s="284"/>
      <c r="G18" s="285"/>
      <c r="H18" s="286"/>
      <c r="I18" s="287"/>
      <c r="J18" s="288"/>
    </row>
    <row r="19" spans="1:11" s="291" customFormat="1" ht="15">
      <c r="A19" s="261"/>
      <c r="B19" s="289" t="s">
        <v>473</v>
      </c>
      <c r="C19" s="284"/>
      <c r="D19" s="284"/>
      <c r="E19" s="284"/>
      <c r="F19" s="290"/>
      <c r="G19" s="285"/>
      <c r="H19" s="286"/>
      <c r="I19" s="287"/>
      <c r="K19" s="286"/>
    </row>
    <row r="20" spans="1:11" s="291" customFormat="1" ht="15">
      <c r="A20" s="261"/>
      <c r="B20" s="292" t="s">
        <v>752</v>
      </c>
      <c r="C20" s="284"/>
      <c r="D20" s="284"/>
      <c r="F20" s="293">
        <f>SUMIF($C$6:$C$17,10,$J$6:$J$17)</f>
        <v>222.24299999999999</v>
      </c>
      <c r="G20" s="294" t="s">
        <v>273</v>
      </c>
      <c r="I20" s="287"/>
      <c r="K20" s="295"/>
    </row>
    <row r="21" spans="1:11" s="291" customFormat="1" ht="15">
      <c r="A21" s="261"/>
      <c r="B21" s="292" t="s">
        <v>754</v>
      </c>
      <c r="C21" s="284"/>
      <c r="D21" s="284"/>
      <c r="F21" s="293">
        <f>SUMIF($C$6:$C$17,12,$J$6:$J$17)</f>
        <v>544.947</v>
      </c>
      <c r="G21" s="294" t="s">
        <v>273</v>
      </c>
      <c r="I21" s="287"/>
      <c r="K21" s="295"/>
    </row>
    <row r="22" spans="1:11" s="291" customFormat="1" ht="15">
      <c r="A22" s="261"/>
      <c r="B22" s="292" t="s">
        <v>741</v>
      </c>
      <c r="C22" s="284"/>
      <c r="D22" s="284"/>
      <c r="F22" s="293">
        <f>SUMIF($C$6:$C$17,16,$J$6:$J$17)</f>
        <v>198.57600000000002</v>
      </c>
      <c r="G22" s="294" t="s">
        <v>273</v>
      </c>
      <c r="I22" s="287"/>
      <c r="K22" s="295"/>
    </row>
    <row r="23" spans="1:11" s="291" customFormat="1" ht="15">
      <c r="A23" s="261"/>
      <c r="B23" s="292" t="s">
        <v>742</v>
      </c>
      <c r="C23" s="284"/>
      <c r="D23" s="284"/>
      <c r="F23" s="293">
        <f>SUMIF($C$6:$C$17,18,$J$6:$J$17)</f>
        <v>455.94400000000002</v>
      </c>
      <c r="G23" s="294" t="s">
        <v>273</v>
      </c>
      <c r="I23" s="287"/>
      <c r="K23" s="295"/>
    </row>
    <row r="24" spans="1:11" s="291" customFormat="1" ht="15">
      <c r="A24" s="261"/>
      <c r="B24" s="292"/>
      <c r="C24" s="284"/>
      <c r="D24" s="284"/>
      <c r="F24" s="293"/>
      <c r="G24" s="294"/>
      <c r="I24" s="287"/>
      <c r="K24" s="295"/>
    </row>
    <row r="25" spans="1:11" s="291" customFormat="1" ht="15">
      <c r="A25" s="261"/>
      <c r="B25" s="292"/>
      <c r="C25" s="284"/>
      <c r="D25" s="284"/>
      <c r="F25" s="293"/>
      <c r="G25" s="294"/>
      <c r="I25" s="287"/>
      <c r="K25" s="295"/>
    </row>
    <row r="26" spans="1:11" s="291" customFormat="1" ht="15">
      <c r="A26" s="261"/>
      <c r="B26" s="292"/>
      <c r="C26" s="284"/>
      <c r="D26" s="284"/>
      <c r="F26" s="293"/>
      <c r="G26" s="294"/>
      <c r="I26" s="287"/>
      <c r="K26" s="295"/>
    </row>
    <row r="27" spans="1:11" s="291" customFormat="1" ht="15">
      <c r="A27" s="261"/>
      <c r="B27" s="292"/>
      <c r="C27" s="284"/>
      <c r="D27" s="284"/>
      <c r="F27" s="293"/>
      <c r="G27" s="294"/>
      <c r="I27" s="287"/>
      <c r="K27" s="295"/>
    </row>
    <row r="28" spans="1:11" s="262" customFormat="1">
      <c r="A28" s="261"/>
      <c r="D28" s="260" t="s">
        <v>460</v>
      </c>
      <c r="E28" s="296"/>
      <c r="G28" s="297"/>
      <c r="H28" s="286"/>
      <c r="I28" s="260" t="s">
        <v>747</v>
      </c>
    </row>
    <row r="29" spans="1:11" s="262" customFormat="1">
      <c r="A29" s="261"/>
      <c r="B29" s="297"/>
      <c r="C29" s="296"/>
      <c r="D29" s="296"/>
      <c r="E29" s="296"/>
      <c r="F29" s="296"/>
      <c r="G29" s="296"/>
      <c r="H29" s="286"/>
      <c r="I29" s="260"/>
      <c r="J29" s="260"/>
    </row>
    <row r="30" spans="1:11" s="262" customFormat="1">
      <c r="A30" s="261"/>
      <c r="B30" s="297"/>
      <c r="C30" s="296"/>
      <c r="D30" s="296"/>
      <c r="E30" s="296"/>
      <c r="F30" s="296"/>
      <c r="G30" s="296"/>
      <c r="H30" s="286"/>
      <c r="I30" s="260"/>
      <c r="J30" s="260"/>
      <c r="K30" s="262" t="s">
        <v>475</v>
      </c>
    </row>
    <row r="31" spans="1:11" s="262" customFormat="1">
      <c r="A31" s="261"/>
      <c r="B31" s="297"/>
      <c r="C31" s="296"/>
      <c r="D31" s="296"/>
      <c r="E31" s="296"/>
      <c r="F31" s="296"/>
      <c r="G31" s="296"/>
      <c r="H31" s="286"/>
      <c r="I31" s="260"/>
      <c r="J31" s="260"/>
    </row>
    <row r="32" spans="1:11" s="262" customFormat="1">
      <c r="A32" s="261"/>
      <c r="B32" s="297"/>
      <c r="C32" s="296"/>
      <c r="D32" s="296"/>
      <c r="E32" s="296"/>
      <c r="F32" s="296"/>
      <c r="G32" s="296"/>
      <c r="H32" s="286"/>
      <c r="I32" s="260"/>
      <c r="J32" s="259"/>
    </row>
    <row r="33" spans="1:10" s="262" customFormat="1">
      <c r="A33" s="261"/>
      <c r="D33" s="297" t="s">
        <v>744</v>
      </c>
      <c r="E33" s="298"/>
      <c r="G33" s="297"/>
      <c r="H33" s="286"/>
      <c r="I33" s="260" t="s">
        <v>746</v>
      </c>
      <c r="J33" s="259"/>
    </row>
    <row r="37" spans="1:10" s="262" customFormat="1" ht="15">
      <c r="A37" s="261"/>
      <c r="B37" s="284"/>
      <c r="C37" s="284"/>
      <c r="D37" s="284"/>
      <c r="E37" s="284"/>
      <c r="F37" s="284"/>
      <c r="G37" s="285"/>
      <c r="H37" s="286"/>
      <c r="I37" s="287"/>
      <c r="J37" s="288"/>
    </row>
    <row r="38" spans="1:10" s="262" customFormat="1" ht="15">
      <c r="A38" s="261"/>
      <c r="B38" s="284"/>
      <c r="C38" s="284"/>
      <c r="D38" s="284"/>
      <c r="E38" s="284"/>
      <c r="F38" s="284"/>
      <c r="G38" s="285"/>
      <c r="H38" s="286"/>
      <c r="I38" s="287"/>
      <c r="J38" s="288"/>
    </row>
    <row r="39" spans="1:10" s="262" customFormat="1" ht="15">
      <c r="A39" s="261"/>
      <c r="B39" s="284"/>
      <c r="C39" s="284"/>
      <c r="D39" s="284"/>
      <c r="E39" s="284"/>
      <c r="F39" s="284"/>
      <c r="G39" s="285"/>
      <c r="H39" s="286"/>
      <c r="I39" s="287"/>
      <c r="J39" s="288"/>
    </row>
    <row r="40" spans="1:10" s="262" customFormat="1" ht="15">
      <c r="A40" s="261"/>
      <c r="B40" s="284"/>
      <c r="C40" s="284"/>
      <c r="D40" s="284"/>
      <c r="E40" s="284"/>
      <c r="F40" s="284"/>
      <c r="G40" s="285"/>
      <c r="H40" s="286"/>
      <c r="I40" s="287"/>
      <c r="J40" s="288"/>
    </row>
    <row r="41" spans="1:10" s="262" customFormat="1" ht="15">
      <c r="A41" s="261"/>
      <c r="B41" s="284"/>
      <c r="C41" s="284"/>
      <c r="D41" s="284"/>
      <c r="E41" s="284"/>
      <c r="F41" s="284"/>
      <c r="G41" s="285"/>
      <c r="H41" s="286"/>
      <c r="I41" s="287"/>
      <c r="J41" s="288"/>
    </row>
    <row r="42" spans="1:10" s="262" customFormat="1" ht="15">
      <c r="A42" s="261"/>
      <c r="B42" s="284"/>
      <c r="C42" s="284"/>
      <c r="D42" s="284"/>
      <c r="E42" s="284"/>
      <c r="F42" s="284"/>
      <c r="G42" s="285"/>
      <c r="H42" s="286"/>
      <c r="I42" s="287"/>
      <c r="J42" s="288"/>
    </row>
  </sheetData>
  <mergeCells count="10">
    <mergeCell ref="A6:A17"/>
    <mergeCell ref="I3:J3"/>
    <mergeCell ref="A4:A5"/>
    <mergeCell ref="B4:B5"/>
    <mergeCell ref="C4:C5"/>
    <mergeCell ref="D4:D5"/>
    <mergeCell ref="E4:F4"/>
    <mergeCell ref="G4:H4"/>
    <mergeCell ref="I4:I5"/>
    <mergeCell ref="J4:J5"/>
  </mergeCells>
  <pageMargins left="0.7" right="0.16"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sheetPr>
    <tabColor rgb="FF00B050"/>
  </sheetPr>
  <dimension ref="A1:L41"/>
  <sheetViews>
    <sheetView workbookViewId="0">
      <selection activeCell="F20" sqref="F20"/>
    </sheetView>
  </sheetViews>
  <sheetFormatPr defaultRowHeight="15.75"/>
  <cols>
    <col min="1" max="1" width="7" style="269" customWidth="1"/>
    <col min="2" max="2" width="7.42578125" style="268" customWidth="1"/>
    <col min="3" max="3" width="7.7109375" style="268" customWidth="1"/>
    <col min="4" max="4" width="7.5703125" style="268" customWidth="1"/>
    <col min="5" max="5" width="7.85546875" style="268" customWidth="1"/>
    <col min="6" max="6" width="10.5703125" style="268" customWidth="1"/>
    <col min="7" max="7" width="11" style="268" customWidth="1"/>
    <col min="8" max="8" width="10.85546875" style="269" customWidth="1"/>
    <col min="9" max="9" width="12.140625" style="269" customWidth="1"/>
    <col min="10" max="10" width="11.85546875" style="299" customWidth="1"/>
    <col min="11" max="11" width="24.7109375" style="269" customWidth="1"/>
    <col min="12" max="12" width="13.5703125" style="269" customWidth="1"/>
    <col min="13" max="13" width="16.28515625" style="269" customWidth="1"/>
    <col min="14" max="14" width="15" style="269" bestFit="1" customWidth="1"/>
    <col min="15" max="16384" width="9.140625" style="269"/>
  </cols>
  <sheetData>
    <row r="1" spans="1:12" s="266" customFormat="1" ht="22.5">
      <c r="A1" s="263" t="s">
        <v>842</v>
      </c>
      <c r="B1" s="264"/>
      <c r="C1" s="264"/>
      <c r="D1" s="264"/>
      <c r="E1" s="264"/>
      <c r="F1" s="264"/>
      <c r="G1" s="264"/>
      <c r="H1" s="264"/>
      <c r="I1" s="264"/>
      <c r="J1" s="265"/>
    </row>
    <row r="2" spans="1:12" s="266" customFormat="1" ht="20.25">
      <c r="A2" s="264"/>
      <c r="B2" s="264"/>
      <c r="C2" s="264"/>
      <c r="D2" s="264"/>
      <c r="E2" s="264"/>
      <c r="F2" s="392" t="s">
        <v>743</v>
      </c>
      <c r="G2" s="264"/>
      <c r="H2" s="264"/>
      <c r="I2" s="264"/>
      <c r="J2" s="265"/>
    </row>
    <row r="3" spans="1:12" ht="16.5">
      <c r="A3" s="267"/>
      <c r="I3" s="749"/>
      <c r="J3" s="749"/>
    </row>
    <row r="4" spans="1:12" s="273" customFormat="1" ht="23.25" customHeight="1">
      <c r="A4" s="750" t="s">
        <v>462</v>
      </c>
      <c r="B4" s="750" t="s">
        <v>463</v>
      </c>
      <c r="C4" s="750" t="s">
        <v>464</v>
      </c>
      <c r="D4" s="753" t="s">
        <v>465</v>
      </c>
      <c r="E4" s="755" t="s">
        <v>466</v>
      </c>
      <c r="F4" s="756"/>
      <c r="G4" s="757" t="s">
        <v>467</v>
      </c>
      <c r="H4" s="758"/>
      <c r="I4" s="753" t="s">
        <v>468</v>
      </c>
      <c r="J4" s="750" t="s">
        <v>469</v>
      </c>
    </row>
    <row r="5" spans="1:12" s="273" customFormat="1" ht="20.25" customHeight="1">
      <c r="A5" s="751"/>
      <c r="B5" s="752"/>
      <c r="C5" s="751"/>
      <c r="D5" s="754"/>
      <c r="E5" s="498" t="s">
        <v>470</v>
      </c>
      <c r="F5" s="498" t="s">
        <v>471</v>
      </c>
      <c r="G5" s="498" t="s">
        <v>472</v>
      </c>
      <c r="H5" s="498" t="s">
        <v>471</v>
      </c>
      <c r="I5" s="754"/>
      <c r="J5" s="751"/>
    </row>
    <row r="6" spans="1:12" s="273" customFormat="1" ht="15">
      <c r="A6" s="748" t="s">
        <v>866</v>
      </c>
      <c r="B6" s="301">
        <v>1</v>
      </c>
      <c r="C6" s="257">
        <v>18</v>
      </c>
      <c r="D6" s="275">
        <v>2</v>
      </c>
      <c r="E6" s="275">
        <v>4</v>
      </c>
      <c r="F6" s="275">
        <f t="shared" ref="F6:F16" si="0">D6*E6</f>
        <v>8</v>
      </c>
      <c r="G6" s="276">
        <f>1.15+6.17</f>
        <v>7.32</v>
      </c>
      <c r="H6" s="277">
        <f t="shared" ref="H6:H16" si="1">ROUND(F6*G6,3)</f>
        <v>58.56</v>
      </c>
      <c r="I6" s="278">
        <f t="shared" ref="I6:I16" si="2">ROUND(3.1416*(C6/1000)^2/4*7850*1,3)</f>
        <v>1.998</v>
      </c>
      <c r="J6" s="279">
        <f t="shared" ref="J6:J16" si="3">ROUND(H6*I6,3)</f>
        <v>117.003</v>
      </c>
      <c r="K6" s="819" t="s">
        <v>859</v>
      </c>
      <c r="L6" s="273">
        <f>3.8+1.8</f>
        <v>5.6</v>
      </c>
    </row>
    <row r="7" spans="1:12" s="273" customFormat="1" ht="15">
      <c r="A7" s="748"/>
      <c r="B7" s="301">
        <v>2</v>
      </c>
      <c r="C7" s="257">
        <v>18</v>
      </c>
      <c r="D7" s="275">
        <v>2</v>
      </c>
      <c r="E7" s="275">
        <v>14</v>
      </c>
      <c r="F7" s="275">
        <f t="shared" si="0"/>
        <v>28</v>
      </c>
      <c r="G7" s="276">
        <v>3.98</v>
      </c>
      <c r="H7" s="277">
        <f t="shared" si="1"/>
        <v>111.44</v>
      </c>
      <c r="I7" s="278">
        <f t="shared" si="2"/>
        <v>1.998</v>
      </c>
      <c r="J7" s="279">
        <f t="shared" si="3"/>
        <v>222.65700000000001</v>
      </c>
      <c r="K7" s="819"/>
    </row>
    <row r="8" spans="1:12" s="281" customFormat="1" ht="15">
      <c r="A8" s="748"/>
      <c r="B8" s="301">
        <v>3</v>
      </c>
      <c r="C8" s="257">
        <v>18</v>
      </c>
      <c r="D8" s="275">
        <v>2</v>
      </c>
      <c r="E8" s="275">
        <v>2</v>
      </c>
      <c r="F8" s="275">
        <f t="shared" si="0"/>
        <v>4</v>
      </c>
      <c r="G8" s="276">
        <v>8.3699999999999992</v>
      </c>
      <c r="H8" s="277">
        <f t="shared" si="1"/>
        <v>33.479999999999997</v>
      </c>
      <c r="I8" s="278">
        <f t="shared" si="2"/>
        <v>1.998</v>
      </c>
      <c r="J8" s="279">
        <f t="shared" si="3"/>
        <v>66.893000000000001</v>
      </c>
      <c r="K8" s="819"/>
    </row>
    <row r="9" spans="1:12" s="273" customFormat="1" ht="15">
      <c r="A9" s="748"/>
      <c r="B9" s="301">
        <v>4</v>
      </c>
      <c r="C9" s="257">
        <v>12</v>
      </c>
      <c r="D9" s="275">
        <v>2</v>
      </c>
      <c r="E9" s="275">
        <v>64</v>
      </c>
      <c r="F9" s="275">
        <f t="shared" si="0"/>
        <v>128</v>
      </c>
      <c r="G9" s="276">
        <v>1.1399999999999999</v>
      </c>
      <c r="H9" s="451">
        <f t="shared" si="1"/>
        <v>145.91999999999999</v>
      </c>
      <c r="I9" s="278">
        <f t="shared" si="2"/>
        <v>0.88800000000000001</v>
      </c>
      <c r="J9" s="279">
        <f t="shared" si="3"/>
        <v>129.577</v>
      </c>
      <c r="K9" s="819"/>
    </row>
    <row r="10" spans="1:12" s="273" customFormat="1" ht="15">
      <c r="A10" s="748"/>
      <c r="B10" s="301">
        <v>5</v>
      </c>
      <c r="C10" s="257">
        <v>12</v>
      </c>
      <c r="D10" s="275">
        <v>2</v>
      </c>
      <c r="E10" s="275">
        <v>6</v>
      </c>
      <c r="F10" s="275">
        <f t="shared" si="0"/>
        <v>12</v>
      </c>
      <c r="G10" s="276">
        <v>0.86</v>
      </c>
      <c r="H10" s="277">
        <f t="shared" si="1"/>
        <v>10.32</v>
      </c>
      <c r="I10" s="278">
        <f t="shared" si="2"/>
        <v>0.88800000000000001</v>
      </c>
      <c r="J10" s="279">
        <f t="shared" si="3"/>
        <v>9.1639999999999997</v>
      </c>
      <c r="K10" s="819"/>
    </row>
    <row r="11" spans="1:12" s="273" customFormat="1" ht="15">
      <c r="A11" s="748"/>
      <c r="B11" s="301">
        <v>6</v>
      </c>
      <c r="C11" s="257">
        <v>12</v>
      </c>
      <c r="D11" s="275">
        <v>2</v>
      </c>
      <c r="E11" s="275">
        <v>2</v>
      </c>
      <c r="F11" s="275">
        <f t="shared" si="0"/>
        <v>4</v>
      </c>
      <c r="G11" s="276">
        <v>2.11</v>
      </c>
      <c r="H11" s="277">
        <f t="shared" si="1"/>
        <v>8.44</v>
      </c>
      <c r="I11" s="278">
        <f t="shared" si="2"/>
        <v>0.88800000000000001</v>
      </c>
      <c r="J11" s="279">
        <f t="shared" si="3"/>
        <v>7.4950000000000001</v>
      </c>
      <c r="K11" s="819"/>
      <c r="L11" s="282"/>
    </row>
    <row r="12" spans="1:12" s="273" customFormat="1" ht="15">
      <c r="A12" s="748"/>
      <c r="B12" s="301">
        <v>19</v>
      </c>
      <c r="C12" s="257">
        <v>10</v>
      </c>
      <c r="D12" s="275">
        <v>2</v>
      </c>
      <c r="E12" s="275">
        <v>20</v>
      </c>
      <c r="F12" s="275">
        <f t="shared" si="0"/>
        <v>40</v>
      </c>
      <c r="G12" s="276">
        <v>2.9</v>
      </c>
      <c r="H12" s="277">
        <f t="shared" si="1"/>
        <v>116</v>
      </c>
      <c r="I12" s="278">
        <f t="shared" si="2"/>
        <v>0.61699999999999999</v>
      </c>
      <c r="J12" s="279">
        <f t="shared" si="3"/>
        <v>71.572000000000003</v>
      </c>
      <c r="K12" s="820" t="s">
        <v>860</v>
      </c>
    </row>
    <row r="13" spans="1:12" s="273" customFormat="1" ht="15">
      <c r="A13" s="748"/>
      <c r="B13" s="301">
        <v>20</v>
      </c>
      <c r="C13" s="257">
        <v>16</v>
      </c>
      <c r="D13" s="275">
        <v>2</v>
      </c>
      <c r="E13" s="275">
        <v>16</v>
      </c>
      <c r="F13" s="275">
        <f t="shared" si="0"/>
        <v>32</v>
      </c>
      <c r="G13" s="276">
        <v>1.7</v>
      </c>
      <c r="H13" s="277">
        <f t="shared" si="1"/>
        <v>54.4</v>
      </c>
      <c r="I13" s="278">
        <f t="shared" si="2"/>
        <v>1.5780000000000001</v>
      </c>
      <c r="J13" s="279">
        <f t="shared" si="3"/>
        <v>85.843000000000004</v>
      </c>
      <c r="K13" s="820"/>
    </row>
    <row r="14" spans="1:12" s="273" customFormat="1" ht="15">
      <c r="A14" s="748"/>
      <c r="B14" s="301">
        <v>21</v>
      </c>
      <c r="C14" s="257">
        <v>10</v>
      </c>
      <c r="D14" s="275">
        <v>2</v>
      </c>
      <c r="E14" s="275">
        <v>16</v>
      </c>
      <c r="F14" s="275">
        <f t="shared" si="0"/>
        <v>32</v>
      </c>
      <c r="G14" s="276">
        <v>1.7</v>
      </c>
      <c r="H14" s="277">
        <f t="shared" si="1"/>
        <v>54.4</v>
      </c>
      <c r="I14" s="278">
        <f t="shared" si="2"/>
        <v>0.61699999999999999</v>
      </c>
      <c r="J14" s="279">
        <f t="shared" si="3"/>
        <v>33.564999999999998</v>
      </c>
      <c r="K14" s="820"/>
    </row>
    <row r="15" spans="1:12" s="273" customFormat="1" ht="15">
      <c r="A15" s="748"/>
      <c r="B15" s="301">
        <v>22</v>
      </c>
      <c r="C15" s="257">
        <v>16</v>
      </c>
      <c r="D15" s="275">
        <v>2</v>
      </c>
      <c r="E15" s="275">
        <v>16</v>
      </c>
      <c r="F15" s="275">
        <f t="shared" si="0"/>
        <v>32</v>
      </c>
      <c r="G15" s="276">
        <v>0.96</v>
      </c>
      <c r="H15" s="277">
        <f t="shared" si="1"/>
        <v>30.72</v>
      </c>
      <c r="I15" s="278">
        <f t="shared" si="2"/>
        <v>1.5780000000000001</v>
      </c>
      <c r="J15" s="279">
        <f t="shared" si="3"/>
        <v>48.475999999999999</v>
      </c>
      <c r="K15" s="820"/>
    </row>
    <row r="16" spans="1:12" s="273" customFormat="1" ht="15">
      <c r="A16" s="748"/>
      <c r="B16" s="301">
        <v>23</v>
      </c>
      <c r="C16" s="257">
        <v>16</v>
      </c>
      <c r="D16" s="275">
        <v>1</v>
      </c>
      <c r="E16" s="275">
        <v>32</v>
      </c>
      <c r="F16" s="275">
        <f t="shared" si="0"/>
        <v>32</v>
      </c>
      <c r="G16" s="276">
        <v>0.45</v>
      </c>
      <c r="H16" s="277">
        <f t="shared" si="1"/>
        <v>14.4</v>
      </c>
      <c r="I16" s="278">
        <f t="shared" si="2"/>
        <v>1.5780000000000001</v>
      </c>
      <c r="J16" s="279">
        <f t="shared" si="3"/>
        <v>22.722999999999999</v>
      </c>
      <c r="K16" s="820"/>
    </row>
    <row r="17" spans="1:11" s="262" customFormat="1" ht="15">
      <c r="A17" s="261"/>
      <c r="B17" s="284"/>
      <c r="C17" s="284"/>
      <c r="D17" s="284"/>
      <c r="E17" s="284"/>
      <c r="F17" s="284"/>
      <c r="G17" s="285"/>
      <c r="H17" s="286"/>
      <c r="I17" s="287"/>
      <c r="J17" s="288"/>
    </row>
    <row r="18" spans="1:11" s="291" customFormat="1" ht="15">
      <c r="A18" s="261"/>
      <c r="B18" s="289" t="s">
        <v>473</v>
      </c>
      <c r="C18" s="284"/>
      <c r="D18" s="284"/>
      <c r="E18" s="284"/>
      <c r="F18" s="290"/>
      <c r="G18" s="285"/>
      <c r="H18" s="286"/>
      <c r="I18" s="287"/>
      <c r="K18" s="286"/>
    </row>
    <row r="19" spans="1:11" s="291" customFormat="1" ht="15">
      <c r="A19" s="261"/>
      <c r="B19" s="292" t="s">
        <v>752</v>
      </c>
      <c r="C19" s="284"/>
      <c r="D19" s="284"/>
      <c r="F19" s="293">
        <f>SUMIF($C$6:$C$16,10,$J$6:$J$16)</f>
        <v>105.137</v>
      </c>
      <c r="G19" s="294" t="s">
        <v>273</v>
      </c>
      <c r="I19" s="287"/>
      <c r="K19" s="295"/>
    </row>
    <row r="20" spans="1:11" s="291" customFormat="1" ht="15">
      <c r="A20" s="261"/>
      <c r="B20" s="292" t="s">
        <v>754</v>
      </c>
      <c r="C20" s="284"/>
      <c r="D20" s="284"/>
      <c r="F20" s="293">
        <f>SUMIF($C$6:$C$16,12,$J$6:$J$16)</f>
        <v>146.23599999999999</v>
      </c>
      <c r="G20" s="294" t="s">
        <v>273</v>
      </c>
      <c r="I20" s="287"/>
      <c r="K20" s="295"/>
    </row>
    <row r="21" spans="1:11" s="291" customFormat="1" ht="15">
      <c r="A21" s="261"/>
      <c r="B21" s="292" t="s">
        <v>741</v>
      </c>
      <c r="C21" s="284"/>
      <c r="D21" s="284"/>
      <c r="F21" s="293">
        <f>SUMIF($C$6:$C$16,16,$J$6:$J$16)</f>
        <v>157.04200000000003</v>
      </c>
      <c r="G21" s="294" t="s">
        <v>273</v>
      </c>
      <c r="I21" s="287"/>
      <c r="K21" s="295"/>
    </row>
    <row r="22" spans="1:11" s="291" customFormat="1" ht="15">
      <c r="A22" s="261"/>
      <c r="B22" s="292" t="s">
        <v>742</v>
      </c>
      <c r="C22" s="284"/>
      <c r="D22" s="284"/>
      <c r="F22" s="293">
        <f>SUMIF($C$6:$C$16,18,$J$6:$J$16)</f>
        <v>406.553</v>
      </c>
      <c r="G22" s="294" t="s">
        <v>273</v>
      </c>
      <c r="I22" s="287"/>
      <c r="K22" s="295"/>
    </row>
    <row r="23" spans="1:11" s="291" customFormat="1" ht="15">
      <c r="A23" s="261"/>
      <c r="B23" s="292"/>
      <c r="C23" s="284"/>
      <c r="D23" s="284"/>
      <c r="F23" s="293"/>
      <c r="G23" s="294"/>
      <c r="I23" s="287"/>
      <c r="K23" s="295"/>
    </row>
    <row r="24" spans="1:11" s="291" customFormat="1" ht="15">
      <c r="A24" s="261"/>
      <c r="B24" s="292"/>
      <c r="C24" s="284"/>
      <c r="D24" s="284"/>
      <c r="F24" s="293"/>
      <c r="G24" s="294"/>
      <c r="I24" s="287"/>
      <c r="K24" s="295"/>
    </row>
    <row r="25" spans="1:11" s="291" customFormat="1" ht="15">
      <c r="A25" s="261"/>
      <c r="B25" s="292"/>
      <c r="C25" s="284"/>
      <c r="D25" s="284"/>
      <c r="F25" s="293"/>
      <c r="G25" s="294"/>
      <c r="I25" s="287"/>
      <c r="K25" s="295"/>
    </row>
    <row r="26" spans="1:11" s="291" customFormat="1" ht="15">
      <c r="A26" s="261"/>
      <c r="B26" s="292"/>
      <c r="C26" s="284"/>
      <c r="D26" s="284"/>
      <c r="F26" s="293"/>
      <c r="G26" s="294"/>
      <c r="I26" s="287"/>
      <c r="K26" s="295"/>
    </row>
    <row r="27" spans="1:11" s="262" customFormat="1">
      <c r="A27" s="261"/>
      <c r="D27" s="260" t="s">
        <v>460</v>
      </c>
      <c r="E27" s="296"/>
      <c r="G27" s="297"/>
      <c r="H27" s="286"/>
      <c r="I27" s="260" t="s">
        <v>747</v>
      </c>
    </row>
    <row r="28" spans="1:11" s="262" customFormat="1">
      <c r="A28" s="261"/>
      <c r="B28" s="297"/>
      <c r="C28" s="296"/>
      <c r="D28" s="296"/>
      <c r="E28" s="296"/>
      <c r="F28" s="296"/>
      <c r="G28" s="296"/>
      <c r="H28" s="286"/>
      <c r="I28" s="260"/>
      <c r="J28" s="260"/>
    </row>
    <row r="29" spans="1:11" s="262" customFormat="1">
      <c r="A29" s="261"/>
      <c r="B29" s="297"/>
      <c r="C29" s="296"/>
      <c r="D29" s="296"/>
      <c r="E29" s="296"/>
      <c r="F29" s="296"/>
      <c r="G29" s="296"/>
      <c r="H29" s="286"/>
      <c r="I29" s="260"/>
      <c r="J29" s="260"/>
      <c r="K29" s="262" t="s">
        <v>475</v>
      </c>
    </row>
    <row r="30" spans="1:11" s="262" customFormat="1">
      <c r="A30" s="261"/>
      <c r="B30" s="297"/>
      <c r="C30" s="296"/>
      <c r="D30" s="296"/>
      <c r="E30" s="296"/>
      <c r="F30" s="296"/>
      <c r="G30" s="296"/>
      <c r="H30" s="286"/>
      <c r="I30" s="260"/>
      <c r="J30" s="260"/>
    </row>
    <row r="31" spans="1:11" s="262" customFormat="1">
      <c r="A31" s="261"/>
      <c r="B31" s="297"/>
      <c r="C31" s="296"/>
      <c r="D31" s="296"/>
      <c r="E31" s="296"/>
      <c r="F31" s="296"/>
      <c r="G31" s="296"/>
      <c r="H31" s="286"/>
      <c r="I31" s="260"/>
      <c r="J31" s="259"/>
    </row>
    <row r="32" spans="1:11" s="262" customFormat="1">
      <c r="A32" s="261"/>
      <c r="D32" s="297" t="s">
        <v>744</v>
      </c>
      <c r="E32" s="298"/>
      <c r="G32" s="297"/>
      <c r="H32" s="286"/>
      <c r="I32" s="260" t="s">
        <v>746</v>
      </c>
      <c r="J32" s="259"/>
    </row>
    <row r="36" spans="1:10" s="262" customFormat="1" ht="15">
      <c r="A36" s="261"/>
      <c r="B36" s="284"/>
      <c r="C36" s="284"/>
      <c r="D36" s="284"/>
      <c r="E36" s="284"/>
      <c r="F36" s="284"/>
      <c r="G36" s="285"/>
      <c r="H36" s="286"/>
      <c r="I36" s="287"/>
      <c r="J36" s="288"/>
    </row>
    <row r="37" spans="1:10" s="262" customFormat="1" ht="15">
      <c r="A37" s="261"/>
      <c r="B37" s="284"/>
      <c r="C37" s="284"/>
      <c r="D37" s="284"/>
      <c r="E37" s="284"/>
      <c r="F37" s="284"/>
      <c r="G37" s="285"/>
      <c r="H37" s="286"/>
      <c r="I37" s="287"/>
      <c r="J37" s="288"/>
    </row>
    <row r="38" spans="1:10" s="262" customFormat="1" ht="15">
      <c r="A38" s="261"/>
      <c r="B38" s="284"/>
      <c r="C38" s="284"/>
      <c r="D38" s="284"/>
      <c r="E38" s="284"/>
      <c r="F38" s="284"/>
      <c r="G38" s="285"/>
      <c r="H38" s="286"/>
      <c r="I38" s="287"/>
      <c r="J38" s="288"/>
    </row>
    <row r="39" spans="1:10" s="262" customFormat="1" ht="15">
      <c r="A39" s="261"/>
      <c r="B39" s="284"/>
      <c r="C39" s="284"/>
      <c r="D39" s="284"/>
      <c r="E39" s="284"/>
      <c r="F39" s="284"/>
      <c r="G39" s="285"/>
      <c r="H39" s="286"/>
      <c r="I39" s="287"/>
      <c r="J39" s="288"/>
    </row>
    <row r="40" spans="1:10" s="262" customFormat="1" ht="15">
      <c r="A40" s="261"/>
      <c r="B40" s="284"/>
      <c r="C40" s="284"/>
      <c r="D40" s="284"/>
      <c r="E40" s="284"/>
      <c r="F40" s="284"/>
      <c r="G40" s="285"/>
      <c r="H40" s="286"/>
      <c r="I40" s="287"/>
      <c r="J40" s="288"/>
    </row>
    <row r="41" spans="1:10" s="262" customFormat="1" ht="15">
      <c r="A41" s="261"/>
      <c r="B41" s="284"/>
      <c r="C41" s="284"/>
      <c r="D41" s="284"/>
      <c r="E41" s="284"/>
      <c r="F41" s="284"/>
      <c r="G41" s="285"/>
      <c r="H41" s="286"/>
      <c r="I41" s="287"/>
      <c r="J41" s="288"/>
    </row>
  </sheetData>
  <mergeCells count="12">
    <mergeCell ref="A6:A16"/>
    <mergeCell ref="K6:K11"/>
    <mergeCell ref="K12:K16"/>
    <mergeCell ref="I3:J3"/>
    <mergeCell ref="A4:A5"/>
    <mergeCell ref="B4:B5"/>
    <mergeCell ref="C4:C5"/>
    <mergeCell ref="D4:D5"/>
    <mergeCell ref="E4:F4"/>
    <mergeCell ref="G4:H4"/>
    <mergeCell ref="I4:I5"/>
    <mergeCell ref="J4:J5"/>
  </mergeCells>
  <pageMargins left="0.7" right="0.1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11</vt:i4>
      </vt:variant>
    </vt:vector>
  </HeadingPairs>
  <TitlesOfParts>
    <vt:vector size="37" baseType="lpstr">
      <vt:lpstr>TỔNG HỢP GIÁ (2)</vt:lpstr>
      <vt:lpstr>Cốt thép tam lat(Lồ Ồ)</vt:lpstr>
      <vt:lpstr>Cthép mặt cầu(Rạch Miễu)</vt:lpstr>
      <vt:lpstr>Cốt thép TUONG canh(Rạch Miễu)</vt:lpstr>
      <vt:lpstr>Cốt thép ban day(Rach Mieu)</vt:lpstr>
      <vt:lpstr>Cốt thép ban day(Lồ Ồ) (2)</vt:lpstr>
      <vt:lpstr>Cốt thép mặt cầu(Lồ Ồ)</vt:lpstr>
      <vt:lpstr>CThép TUONG canh(Lồ Ồ) sông</vt:lpstr>
      <vt:lpstr>Cthép ban day canh(Lồ Ồ) sông</vt:lpstr>
      <vt:lpstr>Cốt thép TUONG canh(Lồ Ồ) (2)</vt:lpstr>
      <vt:lpstr>Cthép tương canh(Lồ Ồ) đồng</vt:lpstr>
      <vt:lpstr>Cthép ban day canh(Lồ Ồ) đồng</vt:lpstr>
      <vt:lpstr>Cốt thép ban day(Lồ Ồ)</vt:lpstr>
      <vt:lpstr>Gia tri DC đợt 1</vt:lpstr>
      <vt:lpstr>Thuyết minh (đợt 1)</vt:lpstr>
      <vt:lpstr>TỔNG HỢP</vt:lpstr>
      <vt:lpstr>CHI TIẾT THIẾT BỊ CHẾ TẠO</vt:lpstr>
      <vt:lpstr>KL đào ống dẫn dòng</vt:lpstr>
      <vt:lpstr>Cốt thép cọc(Lồ Ồ)</vt:lpstr>
      <vt:lpstr>Cốt thép cọc(Rạch Miễu)</vt:lpstr>
      <vt:lpstr>sai lệch thiết kế</vt:lpstr>
      <vt:lpstr>Tổng hợp phát sinh</vt:lpstr>
      <vt:lpstr>Cốt thép tuong(Rạch Miễu) (PS)</vt:lpstr>
      <vt:lpstr>Cốt thép tuong(Lồ Ồ) (PS)</vt:lpstr>
      <vt:lpstr>Cthép tuong canh(RM)ps</vt:lpstr>
      <vt:lpstr>Cthép đáy tuong canh(RM)ps</vt:lpstr>
      <vt:lpstr>DGCTDT!Print_Area</vt:lpstr>
      <vt:lpstr>'Gia tri DC đợt 1'!Print_Area</vt:lpstr>
      <vt:lpstr>'KL đào ống dẫn dòng'!Print_Area</vt:lpstr>
      <vt:lpstr>THDGDT!Print_Area</vt:lpstr>
      <vt:lpstr>'Thuyết minh (đợt 1)'!Print_Area</vt:lpstr>
      <vt:lpstr>'TỔNG HỢP'!Print_Area</vt:lpstr>
      <vt:lpstr>'CHI TIẾT THIẾT BỊ CHẾ TẠO'!Print_Titles</vt:lpstr>
      <vt:lpstr>'Gia tri DC đợt 1'!Print_Titles</vt:lpstr>
      <vt:lpstr>'KL đào ống dẫn dòng'!Print_Titles</vt:lpstr>
      <vt:lpstr>'Thuyết minh (đợt 1)'!Print_Titles</vt:lpstr>
      <vt:lpstr>'TỔNG HỢP GIÁ (2)'!Print_Titles</vt:lpstr>
    </vt:vector>
  </TitlesOfParts>
  <Company>BCJ</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 Toan 2014</dc:title>
  <dc:creator>Nguyen Ngoc Cam</dc:creator>
  <cp:lastModifiedBy>EICBENTRE</cp:lastModifiedBy>
  <cp:lastPrinted>2022-01-14T09:35:45Z</cp:lastPrinted>
  <dcterms:created xsi:type="dcterms:W3CDTF">2009-07-16T07:27:03Z</dcterms:created>
  <dcterms:modified xsi:type="dcterms:W3CDTF">2022-01-27T02:16:19Z</dcterms:modified>
</cp:coreProperties>
</file>