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6015" windowWidth="19245" windowHeight="4980" activeTab="4"/>
  </bookViews>
  <sheets>
    <sheet name="TH XÂY TÔ" sheetId="1" r:id="rId1"/>
    <sheet name="TH KL TRÁM VÁ" sheetId="3" r:id="rId2"/>
    <sheet name="CÁN NỀN" sheetId="4" r:id="rId3"/>
    <sheet name="CHỐNG THẤM" sheetId="6" r:id="rId4"/>
    <sheet name="DỰ TRÙ VT XÂY TÔ" sheetId="5" r:id="rId5"/>
    <sheet name="DỰ TRÙ VT ỐP LÁT" sheetId="7" r:id="rId6"/>
  </sheets>
  <externalReferences>
    <externalReference r:id="rId7"/>
    <externalReference r:id="rId8"/>
  </externalReferences>
  <definedNames>
    <definedName name="F1710b">'[1]XAY F16-21'!$N$9</definedName>
    <definedName name="F1710n">'[1]XAY F16-21'!$K$9</definedName>
    <definedName name="F1710t">'[1]XAY F16-21'!$I$9</definedName>
    <definedName name="F1710w">'[1]XAY F16-21'!$M$9</definedName>
    <definedName name="F1720n">'[1]XAY F16-21'!$J$9</definedName>
    <definedName name="F1720t">'[1]XAY F16-21'!$H$9</definedName>
    <definedName name="F1720w">'[1]XAY F16-21'!$L$9</definedName>
    <definedName name="F1725o">'[1]XAY F16-21'!$O$9</definedName>
    <definedName name="F1730n">'[1]XAY F16-21'!$P$9</definedName>
    <definedName name="F17kcpt">'[1]XAY F16-21'!$Q$9</definedName>
    <definedName name="F17TTnn">'[1]XAY F16-21'!$T$9</definedName>
    <definedName name="F17TTtn">'[1]XAY F16-21'!$S$9</definedName>
    <definedName name="F1810b">'[1]XAY F16-21'!$N$588</definedName>
    <definedName name="F1810n">'[1]XAY F16-21'!$K$588</definedName>
    <definedName name="F1810t">'[1]XAY F16-21'!$I$588</definedName>
    <definedName name="F1810w">'[1]XAY F16-21'!$M$588</definedName>
    <definedName name="F1820n">'[1]XAY F16-21'!$J$588</definedName>
    <definedName name="F1820t">'[1]XAY F16-21'!$H$588</definedName>
    <definedName name="F1820w">'[1]XAY F16-21'!$L$588</definedName>
    <definedName name="F1825o">'[1]XAY F16-21'!$O$588</definedName>
    <definedName name="F1830n">'[1]XAY F16-21'!$P$588</definedName>
    <definedName name="F18kcpt">'[1]XAY F16-21'!$Q$588</definedName>
    <definedName name="F18TTnn">'[1]XAY F16-21'!$T$588</definedName>
    <definedName name="F18TTtn">'[1]XAY F16-21'!$S$588</definedName>
    <definedName name="F2410b">'[1]XAY F24-34'!$N$345</definedName>
    <definedName name="F2410n">'[1]XAY F24-34'!$K$345</definedName>
    <definedName name="F2410t">'[1]XAY F24-34'!$I$345</definedName>
    <definedName name="F2410w">'[1]XAY F24-34'!$M$345</definedName>
    <definedName name="F2420n">'[1]XAY F24-34'!$J$345</definedName>
    <definedName name="F2420t">'[1]XAY F24-34'!$H$345</definedName>
    <definedName name="F2420w">'[1]XAY F24-34'!$L$345</definedName>
    <definedName name="F2425o">'[1]XAY F24-34'!$O$345</definedName>
    <definedName name="F2430n">'[1]XAY F24-34'!$P$345</definedName>
    <definedName name="F24kcpt">'[1]XAY F24-34'!$Q$345</definedName>
    <definedName name="F24TTnn">'[1]XAY F24-34'!$T$345</definedName>
    <definedName name="F24TTtn">'[1]XAY F24-34'!$S$345</definedName>
    <definedName name="F2510b">'[1]XAY F24-34'!$N$656</definedName>
    <definedName name="F2510n">'[1]XAY F24-34'!$K$656</definedName>
    <definedName name="F2510t">'[1]XAY F24-34'!$I$656</definedName>
    <definedName name="F2510w">'[1]XAY F24-34'!$M$656</definedName>
    <definedName name="F2520n">'[1]XAY F24-34'!$J$656</definedName>
    <definedName name="F2520t">'[1]XAY F24-34'!$H$656</definedName>
    <definedName name="F2520w">'[1]XAY F24-34'!$L$656</definedName>
    <definedName name="F2525o">'[1]XAY F24-34'!$O$656</definedName>
    <definedName name="F2530n">'[1]XAY F24-34'!$P$656</definedName>
    <definedName name="F25kcpt">'[1]XAY F24-34'!$Q$656</definedName>
    <definedName name="F25TTnn">'[1]XAY F24-34'!$T$656</definedName>
    <definedName name="F25TTtn">'[1]XAY F24-34'!$S$656</definedName>
    <definedName name="F2610b">'[1]XAY F24-34'!$N$996</definedName>
    <definedName name="F2610n">'[1]XAY F24-34'!$K$996</definedName>
    <definedName name="F2610t">'[1]XAY F24-34'!$I$996</definedName>
    <definedName name="F2610w">'[1]XAY F24-34'!$M$996</definedName>
    <definedName name="F2620n">'[1]XAY F24-34'!$J$996</definedName>
    <definedName name="F2620t">'[1]XAY F24-34'!$H$996</definedName>
    <definedName name="F2620w">'[1]XAY F24-34'!$L$996</definedName>
    <definedName name="F2625o">'[1]XAY F24-34'!$O$996</definedName>
    <definedName name="F2630n">'[1]XAY F24-34'!$P$996</definedName>
    <definedName name="F26kcpt">'[1]XAY F24-34'!$Q$996</definedName>
    <definedName name="F26TTnn">'[1]XAY F24-34'!$T$996</definedName>
    <definedName name="F26TTtn">'[1]XAY F24-34'!$S$996</definedName>
    <definedName name="F3710b">'[1]XAY F35-MAI'!$N$11</definedName>
    <definedName name="F3710n">'[1]XAY F35-MAI'!$K$11</definedName>
    <definedName name="F3710t">'[1]XAY F35-MAI'!$I$11</definedName>
    <definedName name="F3710w">'[1]XAY F35-MAI'!$M$11</definedName>
    <definedName name="F3720n">'[1]XAY F35-MAI'!$J$11</definedName>
    <definedName name="F3720t">'[1]XAY F35-MAI'!$H$11</definedName>
    <definedName name="F3720w">'[1]XAY F35-MAI'!$L$11</definedName>
    <definedName name="F3725o">'[1]XAY F35-MAI'!$O$11</definedName>
    <definedName name="F3730n">'[1]XAY F35-MAI'!$P$11</definedName>
    <definedName name="F37kcpt">'[1]XAY F35-MAI'!$Q$11</definedName>
    <definedName name="F37TTnn">'[1]XAY F35-MAI'!$T$11</definedName>
    <definedName name="F37TTtn">'[1]XAY F35-MAI'!$S$11</definedName>
    <definedName name="F3810b">'[1]XAY F35-MAI'!$N$231</definedName>
    <definedName name="F3810n">'[1]XAY F35-MAI'!$K$231</definedName>
    <definedName name="F3810t">'[1]XAY F35-MAI'!$I$231</definedName>
    <definedName name="F3810w">'[1]XAY F35-MAI'!$M$231</definedName>
    <definedName name="F3820n">'[1]XAY F35-MAI'!$J$231</definedName>
    <definedName name="F3820t">'[1]XAY F35-MAI'!$H$231</definedName>
    <definedName name="F3820w">'[1]XAY F35-MAI'!$L$231</definedName>
    <definedName name="F3825o">'[1]XAY F35-MAI'!$O$231</definedName>
    <definedName name="F3830n">'[1]XAY F35-MAI'!$P$231</definedName>
    <definedName name="F38kcpt">'[1]XAY F35-MAI'!$Q$231</definedName>
    <definedName name="F38TTnn">'[1]XAY F35-MAI'!$T$231</definedName>
    <definedName name="F38TTtn">'[1]XAY F35-MAI'!$S$231</definedName>
    <definedName name="F4010n">'[1]XAY F35-MAI'!$K$495</definedName>
    <definedName name="F4010t">'[1]XAY F35-MAI'!$I$495</definedName>
    <definedName name="F4010w">'[1]XAY F35-MAI'!$M$495</definedName>
    <definedName name="F4020n">'[1]XAY F35-MAI'!$J$495</definedName>
    <definedName name="F4020t">'[1]XAY F35-MAI'!$H$495</definedName>
    <definedName name="F4020w">'[1]XAY F35-MAI'!$L$495</definedName>
    <definedName name="F4025o">'[1]XAY F35-MAI'!$O$495</definedName>
    <definedName name="F4030n">'[1]XAY F35-MAI'!$P$495</definedName>
    <definedName name="F40kcpt">'[1]XAY F35-MAI'!$Q$495</definedName>
    <definedName name="F40TTnn">'[1]XAY F35-MAI'!$T$495</definedName>
    <definedName name="F40TTtn">'[1]XAY F35-MAI'!$S$495</definedName>
    <definedName name="F4110b">'[1]XAY F35-MAI'!$N$797</definedName>
    <definedName name="F4110n">'[1]XAY F35-MAI'!$K$797</definedName>
    <definedName name="F4110t">'[1]XAY F35-MAI'!$I$797</definedName>
    <definedName name="F4110w">'[1]XAY F35-MAI'!$M$797</definedName>
    <definedName name="F4120n">'[1]XAY F35-MAI'!$J$797</definedName>
    <definedName name="F4120t">'[1]XAY F35-MAI'!$H$797</definedName>
    <definedName name="F4120w">'[1]XAY F35-MAI'!$L$797</definedName>
    <definedName name="F4125o">'[1]XAY F35-MAI'!$O$797</definedName>
    <definedName name="F4130n">'[1]XAY F35-MAI'!$P$797</definedName>
    <definedName name="F41kcpt">'[1]XAY F35-MAI'!$Q$797</definedName>
    <definedName name="F41TTnn">'[1]XAY F35-MAI'!$T$797</definedName>
    <definedName name="F41TTtn">'[1]XAY F35-MAI'!$S$797</definedName>
    <definedName name="Fkt10n">'[1]XAY F35-MAI'!$K$1081</definedName>
    <definedName name="Fkt10t">'[1]XAY F35-MAI'!$I$1081</definedName>
    <definedName name="Fkt10w">'[1]XAY F35-MAI'!$M$1081</definedName>
    <definedName name="Fkt20n">'[1]XAY F35-MAI'!$J$1081</definedName>
    <definedName name="Fkt20t">'[1]XAY F35-MAI'!$H$1081</definedName>
    <definedName name="Fkt20w">'[1]XAY F35-MAI'!$L$1081</definedName>
    <definedName name="Fkt25o">'[1]XAY F35-MAI'!$O$1081</definedName>
    <definedName name="Fkt30n">'[1]XAY F35-MAI'!$P$1081</definedName>
    <definedName name="Fktkcpt">'[1]XAY F35-MAI'!$Q$1081</definedName>
    <definedName name="FktTTnn">'[1]XAY F35-MAI'!$T$1081</definedName>
    <definedName name="FktTTtn">'[1]XAY F35-MAI'!$S$1081</definedName>
  </definedNames>
  <calcPr calcId="124519"/>
</workbook>
</file>

<file path=xl/calcChain.xml><?xml version="1.0" encoding="utf-8"?>
<calcChain xmlns="http://schemas.openxmlformats.org/spreadsheetml/2006/main">
  <c r="M22" i="5"/>
  <c r="H10"/>
  <c r="R28" l="1"/>
  <c r="AK36"/>
  <c r="AL36"/>
  <c r="G10" l="1"/>
  <c r="G9"/>
  <c r="D10"/>
  <c r="D9"/>
  <c r="H9"/>
  <c r="G11"/>
  <c r="AC36"/>
  <c r="Y36" l="1"/>
  <c r="AH36"/>
  <c r="AF36"/>
  <c r="S29" l="1"/>
  <c r="Q27"/>
  <c r="P26"/>
  <c r="O25"/>
  <c r="N24"/>
  <c r="M23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AO29"/>
  <c r="AN29"/>
  <c r="AM29"/>
  <c r="AL29"/>
  <c r="AK29"/>
  <c r="AJ29"/>
  <c r="AI29"/>
  <c r="AH29"/>
  <c r="AG29"/>
  <c r="AF29"/>
  <c r="AE29"/>
  <c r="AC29"/>
  <c r="AB29"/>
  <c r="AA29"/>
  <c r="Z29"/>
  <c r="Y29"/>
  <c r="X29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AO8"/>
  <c r="AN8"/>
  <c r="AM8"/>
  <c r="AL8"/>
  <c r="AK8"/>
  <c r="AJ8"/>
  <c r="AI8"/>
  <c r="AH8"/>
  <c r="AG8"/>
  <c r="AF8"/>
  <c r="AE8"/>
  <c r="AD8"/>
  <c r="AB8"/>
  <c r="X8"/>
  <c r="J28"/>
  <c r="K29"/>
  <c r="AD29" s="1"/>
  <c r="D28"/>
  <c r="AO28" s="1"/>
  <c r="Z28" l="1"/>
  <c r="AD28"/>
  <c r="AH28"/>
  <c r="AL28"/>
  <c r="X28"/>
  <c r="AB28"/>
  <c r="AF28"/>
  <c r="AJ28"/>
  <c r="AN28"/>
  <c r="Y28"/>
  <c r="AA28"/>
  <c r="AC28"/>
  <c r="AE28"/>
  <c r="AG28"/>
  <c r="AI28"/>
  <c r="AK28"/>
  <c r="AM28"/>
  <c r="H11" l="1"/>
  <c r="J11"/>
  <c r="F11"/>
  <c r="J19"/>
  <c r="I19"/>
  <c r="J8"/>
  <c r="AC8" s="1"/>
  <c r="H8"/>
  <c r="AA8" s="1"/>
  <c r="G8"/>
  <c r="Z8" s="1"/>
  <c r="F8"/>
  <c r="Y8" s="1"/>
  <c r="AO9" l="1"/>
  <c r="AM9"/>
  <c r="AK9"/>
  <c r="AI9"/>
  <c r="AG9"/>
  <c r="AE9"/>
  <c r="AC9"/>
  <c r="AA9"/>
  <c r="Y9"/>
  <c r="AL9"/>
  <c r="AH9"/>
  <c r="AD9"/>
  <c r="Z9"/>
  <c r="AN9"/>
  <c r="AJ9"/>
  <c r="AF9"/>
  <c r="AB9"/>
  <c r="X9"/>
  <c r="R31" i="7"/>
  <c r="Q31"/>
  <c r="P31"/>
  <c r="O31"/>
  <c r="N31"/>
  <c r="R30"/>
  <c r="Q30"/>
  <c r="P30"/>
  <c r="O30"/>
  <c r="N30"/>
  <c r="R29"/>
  <c r="Q29"/>
  <c r="P29"/>
  <c r="O29"/>
  <c r="N29"/>
  <c r="R23"/>
  <c r="H23" s="1"/>
  <c r="G23"/>
  <c r="F23"/>
  <c r="E23"/>
  <c r="D23"/>
  <c r="C23"/>
  <c r="M22"/>
  <c r="L22"/>
  <c r="K22"/>
  <c r="H14"/>
  <c r="H15" s="1"/>
  <c r="G14"/>
  <c r="G15" s="1"/>
  <c r="F14"/>
  <c r="F15" s="1"/>
  <c r="E14"/>
  <c r="E15" s="1"/>
  <c r="D14"/>
  <c r="D15" s="1"/>
  <c r="C14"/>
  <c r="C15" s="1"/>
  <c r="H11"/>
  <c r="M11" s="1"/>
  <c r="R11" s="1"/>
  <c r="G11"/>
  <c r="F11"/>
  <c r="E11"/>
  <c r="K11" s="1"/>
  <c r="P11" s="1"/>
  <c r="D11"/>
  <c r="J11" s="1"/>
  <c r="C11"/>
  <c r="I11" s="1"/>
  <c r="H10"/>
  <c r="M10" s="1"/>
  <c r="G10"/>
  <c r="F10"/>
  <c r="E10"/>
  <c r="K10" s="1"/>
  <c r="M9"/>
  <c r="R9" s="1"/>
  <c r="K9"/>
  <c r="P9" s="1"/>
  <c r="H8"/>
  <c r="H18" s="1"/>
  <c r="H28" s="1"/>
  <c r="G8"/>
  <c r="G21" s="1"/>
  <c r="F8"/>
  <c r="F18" s="1"/>
  <c r="F28" s="1"/>
  <c r="E8"/>
  <c r="E21" s="1"/>
  <c r="D8"/>
  <c r="D18" s="1"/>
  <c r="D28" s="1"/>
  <c r="C8"/>
  <c r="C21" s="1"/>
  <c r="M4"/>
  <c r="L4"/>
  <c r="L9" s="1"/>
  <c r="K4"/>
  <c r="J4"/>
  <c r="I4"/>
  <c r="D31" i="5"/>
  <c r="AO31" l="1"/>
  <c r="AO30" s="1"/>
  <c r="AM31"/>
  <c r="AM30" s="1"/>
  <c r="AK31"/>
  <c r="AK30" s="1"/>
  <c r="AI31"/>
  <c r="AI30" s="1"/>
  <c r="AG31"/>
  <c r="AG30" s="1"/>
  <c r="AE31"/>
  <c r="AE30" s="1"/>
  <c r="AC31"/>
  <c r="AC30" s="1"/>
  <c r="AA31"/>
  <c r="AA30" s="1"/>
  <c r="Y31"/>
  <c r="Y30" s="1"/>
  <c r="AN31"/>
  <c r="AN30" s="1"/>
  <c r="AL31"/>
  <c r="AL30" s="1"/>
  <c r="AJ31"/>
  <c r="AJ30" s="1"/>
  <c r="AH31"/>
  <c r="AH30" s="1"/>
  <c r="AF31"/>
  <c r="AF30" s="1"/>
  <c r="AD31"/>
  <c r="AD30" s="1"/>
  <c r="AB31"/>
  <c r="AB30" s="1"/>
  <c r="Z31"/>
  <c r="Z30" s="1"/>
  <c r="X31"/>
  <c r="X30" s="1"/>
  <c r="R10" i="7"/>
  <c r="R8" s="1"/>
  <c r="R18" s="1"/>
  <c r="R28" s="1"/>
  <c r="M8"/>
  <c r="M27" s="1"/>
  <c r="L10"/>
  <c r="Q10" s="1"/>
  <c r="D19"/>
  <c r="H19"/>
  <c r="F21"/>
  <c r="D22" i="5"/>
  <c r="D24"/>
  <c r="D26"/>
  <c r="L11" i="7"/>
  <c r="Q11" s="1"/>
  <c r="D20"/>
  <c r="F20"/>
  <c r="H20"/>
  <c r="F19"/>
  <c r="D21"/>
  <c r="H21"/>
  <c r="D23" i="5"/>
  <c r="D25"/>
  <c r="D27"/>
  <c r="L8" i="7"/>
  <c r="L27" s="1"/>
  <c r="Q9"/>
  <c r="N11"/>
  <c r="N8" s="1"/>
  <c r="N18" s="1"/>
  <c r="N28" s="1"/>
  <c r="I8"/>
  <c r="I27" s="1"/>
  <c r="P10"/>
  <c r="P8" s="1"/>
  <c r="P18" s="1"/>
  <c r="P28" s="1"/>
  <c r="K8"/>
  <c r="K27" s="1"/>
  <c r="J8"/>
  <c r="J27" s="1"/>
  <c r="O11"/>
  <c r="O8" s="1"/>
  <c r="O18" s="1"/>
  <c r="O28" s="1"/>
  <c r="C18"/>
  <c r="C28" s="1"/>
  <c r="E18"/>
  <c r="E28" s="1"/>
  <c r="G18"/>
  <c r="G28" s="1"/>
  <c r="C19"/>
  <c r="E19"/>
  <c r="G19"/>
  <c r="C20"/>
  <c r="E20"/>
  <c r="G20"/>
  <c r="Q8" l="1"/>
  <c r="Q18" s="1"/>
  <c r="Q28" s="1"/>
  <c r="C31"/>
  <c r="AA23" i="5"/>
  <c r="AC23"/>
  <c r="AB23"/>
  <c r="AO27"/>
  <c r="AM27"/>
  <c r="AK27"/>
  <c r="AI27"/>
  <c r="AG27"/>
  <c r="AE27"/>
  <c r="AC27"/>
  <c r="AA27"/>
  <c r="Y27"/>
  <c r="AN27"/>
  <c r="AJ27"/>
  <c r="AF27"/>
  <c r="AB27"/>
  <c r="X27"/>
  <c r="AL27"/>
  <c r="AH27"/>
  <c r="AD27"/>
  <c r="Z27"/>
  <c r="AO24"/>
  <c r="AM24"/>
  <c r="AK24"/>
  <c r="AI24"/>
  <c r="AG24"/>
  <c r="AE24"/>
  <c r="AC24"/>
  <c r="AA24"/>
  <c r="Y24"/>
  <c r="AL24"/>
  <c r="AH24"/>
  <c r="AD24"/>
  <c r="Z24"/>
  <c r="AN24"/>
  <c r="AJ24"/>
  <c r="AF24"/>
  <c r="AB24"/>
  <c r="X24"/>
  <c r="AO23"/>
  <c r="AM23"/>
  <c r="AK23"/>
  <c r="AI23"/>
  <c r="AG23"/>
  <c r="AE23"/>
  <c r="Y23"/>
  <c r="AN23"/>
  <c r="AJ23"/>
  <c r="AF23"/>
  <c r="X23"/>
  <c r="AL23"/>
  <c r="AH23"/>
  <c r="AD23"/>
  <c r="Z23"/>
  <c r="AO25"/>
  <c r="AM25"/>
  <c r="AK25"/>
  <c r="AI25"/>
  <c r="AG25"/>
  <c r="AE25"/>
  <c r="AC25"/>
  <c r="AA25"/>
  <c r="Y25"/>
  <c r="AN25"/>
  <c r="AJ25"/>
  <c r="AF25"/>
  <c r="AB25"/>
  <c r="X25"/>
  <c r="AL25"/>
  <c r="AH25"/>
  <c r="AD25"/>
  <c r="Z25"/>
  <c r="AO26"/>
  <c r="AM26"/>
  <c r="AK26"/>
  <c r="AI26"/>
  <c r="AG26"/>
  <c r="AE26"/>
  <c r="AC26"/>
  <c r="AA26"/>
  <c r="Y26"/>
  <c r="AL26"/>
  <c r="AH26"/>
  <c r="AD26"/>
  <c r="Z26"/>
  <c r="AN26"/>
  <c r="AJ26"/>
  <c r="AF26"/>
  <c r="AB26"/>
  <c r="X26"/>
  <c r="AO22"/>
  <c r="AO21" s="1"/>
  <c r="AM22"/>
  <c r="AK22"/>
  <c r="AK21" s="1"/>
  <c r="AI22"/>
  <c r="AL22"/>
  <c r="AL21" s="1"/>
  <c r="AH22"/>
  <c r="AF22"/>
  <c r="AF21" s="1"/>
  <c r="AD22"/>
  <c r="AB22"/>
  <c r="AB21" s="1"/>
  <c r="Z22"/>
  <c r="X22"/>
  <c r="X21" s="1"/>
  <c r="AN22"/>
  <c r="AJ22"/>
  <c r="AJ21" s="1"/>
  <c r="AG22"/>
  <c r="AE22"/>
  <c r="AE21" s="1"/>
  <c r="AC22"/>
  <c r="AA22"/>
  <c r="AA21" s="1"/>
  <c r="Y22"/>
  <c r="C30" i="7"/>
  <c r="C29"/>
  <c r="Y21" i="5" l="1"/>
  <c r="AC21"/>
  <c r="AG21"/>
  <c r="AN21"/>
  <c r="Z21"/>
  <c r="AD21"/>
  <c r="AH21"/>
  <c r="AI21"/>
  <c r="AM21"/>
  <c r="D11"/>
  <c r="AO11" l="1"/>
  <c r="AM11"/>
  <c r="AK11"/>
  <c r="AI11"/>
  <c r="AG11"/>
  <c r="AE11"/>
  <c r="AC11"/>
  <c r="AA11"/>
  <c r="Y11"/>
  <c r="AN11"/>
  <c r="AJ11"/>
  <c r="AF11"/>
  <c r="AB11"/>
  <c r="X11"/>
  <c r="AL11"/>
  <c r="AH11"/>
  <c r="AD11"/>
  <c r="Z11"/>
  <c r="D12"/>
  <c r="D13"/>
  <c r="H135" i="6"/>
  <c r="I135" s="1"/>
  <c r="E134"/>
  <c r="H134" s="1"/>
  <c r="I134" s="1"/>
  <c r="E133"/>
  <c r="H133" s="1"/>
  <c r="I133" s="1"/>
  <c r="H132"/>
  <c r="I132" s="1"/>
  <c r="H131"/>
  <c r="I131" s="1"/>
  <c r="H130"/>
  <c r="I130" s="1"/>
  <c r="E127"/>
  <c r="H127" s="1"/>
  <c r="I127" s="1"/>
  <c r="H126"/>
  <c r="I126" s="1"/>
  <c r="H125"/>
  <c r="I125" s="1"/>
  <c r="I124" s="1"/>
  <c r="I128" s="1"/>
  <c r="E122"/>
  <c r="H122" s="1"/>
  <c r="I122" s="1"/>
  <c r="H121"/>
  <c r="I121" s="1"/>
  <c r="H120"/>
  <c r="I120" s="1"/>
  <c r="H119"/>
  <c r="I119" s="1"/>
  <c r="H118"/>
  <c r="I118" s="1"/>
  <c r="H115"/>
  <c r="I115" s="1"/>
  <c r="E114"/>
  <c r="H114" s="1"/>
  <c r="I114" s="1"/>
  <c r="E113"/>
  <c r="H113" s="1"/>
  <c r="I113" s="1"/>
  <c r="I112"/>
  <c r="H112"/>
  <c r="I111"/>
  <c r="H111"/>
  <c r="I110"/>
  <c r="H110"/>
  <c r="H107"/>
  <c r="I107" s="1"/>
  <c r="E106"/>
  <c r="H106" s="1"/>
  <c r="I106" s="1"/>
  <c r="E105"/>
  <c r="H105" s="1"/>
  <c r="I105" s="1"/>
  <c r="H104"/>
  <c r="I104" s="1"/>
  <c r="H103"/>
  <c r="I103" s="1"/>
  <c r="H102"/>
  <c r="I102" s="1"/>
  <c r="H99"/>
  <c r="I99" s="1"/>
  <c r="E98"/>
  <c r="H98" s="1"/>
  <c r="I98" s="1"/>
  <c r="E97"/>
  <c r="H97" s="1"/>
  <c r="I97" s="1"/>
  <c r="H96"/>
  <c r="I96" s="1"/>
  <c r="H95"/>
  <c r="I95" s="1"/>
  <c r="H94"/>
  <c r="I94" s="1"/>
  <c r="E91"/>
  <c r="H91" s="1"/>
  <c r="I91" s="1"/>
  <c r="H90"/>
  <c r="I90" s="1"/>
  <c r="H87"/>
  <c r="I87" s="1"/>
  <c r="E86"/>
  <c r="H86" s="1"/>
  <c r="I86" s="1"/>
  <c r="E85"/>
  <c r="H85" s="1"/>
  <c r="I85" s="1"/>
  <c r="H84"/>
  <c r="I84" s="1"/>
  <c r="H83"/>
  <c r="I83" s="1"/>
  <c r="H82"/>
  <c r="I82" s="1"/>
  <c r="H79"/>
  <c r="I79" s="1"/>
  <c r="E78"/>
  <c r="H78" s="1"/>
  <c r="I78" s="1"/>
  <c r="E77"/>
  <c r="H77" s="1"/>
  <c r="I77" s="1"/>
  <c r="H76"/>
  <c r="I76" s="1"/>
  <c r="H75"/>
  <c r="I75" s="1"/>
  <c r="H74"/>
  <c r="I74" s="1"/>
  <c r="H71"/>
  <c r="I71" s="1"/>
  <c r="E70"/>
  <c r="H70" s="1"/>
  <c r="I70" s="1"/>
  <c r="E69"/>
  <c r="H69" s="1"/>
  <c r="I69" s="1"/>
  <c r="H68"/>
  <c r="I68" s="1"/>
  <c r="H67"/>
  <c r="I67" s="1"/>
  <c r="H66"/>
  <c r="I66" s="1"/>
  <c r="E63"/>
  <c r="H63" s="1"/>
  <c r="I63" s="1"/>
  <c r="H62"/>
  <c r="I62" s="1"/>
  <c r="H59"/>
  <c r="I59" s="1"/>
  <c r="E58"/>
  <c r="H58" s="1"/>
  <c r="I58" s="1"/>
  <c r="E57"/>
  <c r="H57" s="1"/>
  <c r="I57" s="1"/>
  <c r="H56"/>
  <c r="I56" s="1"/>
  <c r="H55"/>
  <c r="I55" s="1"/>
  <c r="H54"/>
  <c r="I54" s="1"/>
  <c r="H51"/>
  <c r="I51" s="1"/>
  <c r="E50"/>
  <c r="H50" s="1"/>
  <c r="I50" s="1"/>
  <c r="E49"/>
  <c r="H49" s="1"/>
  <c r="I49" s="1"/>
  <c r="H48"/>
  <c r="I48" s="1"/>
  <c r="H47"/>
  <c r="I47" s="1"/>
  <c r="H46"/>
  <c r="I46" s="1"/>
  <c r="I45" s="1"/>
  <c r="I52" s="1"/>
  <c r="H43"/>
  <c r="I43" s="1"/>
  <c r="E42"/>
  <c r="H42" s="1"/>
  <c r="I42" s="1"/>
  <c r="E41"/>
  <c r="H41" s="1"/>
  <c r="I41" s="1"/>
  <c r="H40"/>
  <c r="I40" s="1"/>
  <c r="H39"/>
  <c r="I39" s="1"/>
  <c r="H38"/>
  <c r="I38" s="1"/>
  <c r="H35"/>
  <c r="I35" s="1"/>
  <c r="E34"/>
  <c r="H34" s="1"/>
  <c r="I34" s="1"/>
  <c r="E33"/>
  <c r="H33" s="1"/>
  <c r="I33" s="1"/>
  <c r="H32"/>
  <c r="I32" s="1"/>
  <c r="H31"/>
  <c r="I31" s="1"/>
  <c r="H30"/>
  <c r="I30" s="1"/>
  <c r="H28"/>
  <c r="I28" s="1"/>
  <c r="E28"/>
  <c r="H27"/>
  <c r="I27" s="1"/>
  <c r="I26" s="1"/>
  <c r="H25"/>
  <c r="I25" s="1"/>
  <c r="E24"/>
  <c r="H24" s="1"/>
  <c r="I24" s="1"/>
  <c r="E23"/>
  <c r="H23" s="1"/>
  <c r="I23" s="1"/>
  <c r="H22"/>
  <c r="I22" s="1"/>
  <c r="H21"/>
  <c r="I21" s="1"/>
  <c r="H20"/>
  <c r="I20" s="1"/>
  <c r="H17"/>
  <c r="I17" s="1"/>
  <c r="E17"/>
  <c r="E16"/>
  <c r="H16" s="1"/>
  <c r="I16" s="1"/>
  <c r="H15"/>
  <c r="I15" s="1"/>
  <c r="H14"/>
  <c r="I14" s="1"/>
  <c r="H13"/>
  <c r="I13" s="1"/>
  <c r="H12"/>
  <c r="I12" s="1"/>
  <c r="H11"/>
  <c r="I11" s="1"/>
  <c r="H115" i="3"/>
  <c r="H114"/>
  <c r="I114"/>
  <c r="I113"/>
  <c r="D20" i="5"/>
  <c r="H63" i="3"/>
  <c r="D19" i="5"/>
  <c r="D18"/>
  <c r="H11" i="4"/>
  <c r="I11"/>
  <c r="J11"/>
  <c r="G11"/>
  <c r="H8"/>
  <c r="I8"/>
  <c r="J8"/>
  <c r="G8"/>
  <c r="M11"/>
  <c r="L11"/>
  <c r="K11"/>
  <c r="G14"/>
  <c r="H14"/>
  <c r="I14"/>
  <c r="J14"/>
  <c r="G15"/>
  <c r="H15"/>
  <c r="I15"/>
  <c r="J15"/>
  <c r="G16"/>
  <c r="H16"/>
  <c r="I16"/>
  <c r="J16"/>
  <c r="G17"/>
  <c r="H17"/>
  <c r="I17"/>
  <c r="J17"/>
  <c r="G18"/>
  <c r="H18"/>
  <c r="I18"/>
  <c r="J18"/>
  <c r="G19"/>
  <c r="H19"/>
  <c r="I19"/>
  <c r="J19"/>
  <c r="G20"/>
  <c r="H20"/>
  <c r="I20"/>
  <c r="J20"/>
  <c r="G21"/>
  <c r="H21"/>
  <c r="I21"/>
  <c r="J21"/>
  <c r="G22"/>
  <c r="H22"/>
  <c r="J22"/>
  <c r="G23"/>
  <c r="H23"/>
  <c r="I23"/>
  <c r="G24"/>
  <c r="H24"/>
  <c r="I24"/>
  <c r="J24"/>
  <c r="G25"/>
  <c r="H25"/>
  <c r="I25"/>
  <c r="J25"/>
  <c r="G26"/>
  <c r="H26"/>
  <c r="I26"/>
  <c r="J26"/>
  <c r="G27"/>
  <c r="H27"/>
  <c r="I27"/>
  <c r="J27"/>
  <c r="G28"/>
  <c r="H28"/>
  <c r="I28"/>
  <c r="J28"/>
  <c r="G29"/>
  <c r="H29"/>
  <c r="I29"/>
  <c r="J29"/>
  <c r="G30"/>
  <c r="H30"/>
  <c r="I30"/>
  <c r="J30"/>
  <c r="G31"/>
  <c r="H31"/>
  <c r="I31"/>
  <c r="J31"/>
  <c r="G32"/>
  <c r="H32"/>
  <c r="I32"/>
  <c r="J32"/>
  <c r="G33"/>
  <c r="H33"/>
  <c r="I33"/>
  <c r="J33"/>
  <c r="H35"/>
  <c r="I35"/>
  <c r="J35"/>
  <c r="G36"/>
  <c r="H36"/>
  <c r="I36"/>
  <c r="J36"/>
  <c r="G37"/>
  <c r="H37"/>
  <c r="I37"/>
  <c r="J37"/>
  <c r="G38"/>
  <c r="H38"/>
  <c r="I38"/>
  <c r="J38"/>
  <c r="G39"/>
  <c r="H39"/>
  <c r="I39"/>
  <c r="J39"/>
  <c r="G40"/>
  <c r="H40"/>
  <c r="J40"/>
  <c r="G41"/>
  <c r="H41"/>
  <c r="I41"/>
  <c r="G42"/>
  <c r="H42"/>
  <c r="I42"/>
  <c r="J42"/>
  <c r="G43"/>
  <c r="H43"/>
  <c r="I43"/>
  <c r="J43"/>
  <c r="G44"/>
  <c r="H44"/>
  <c r="I44"/>
  <c r="J44"/>
  <c r="G45"/>
  <c r="H45"/>
  <c r="I45"/>
  <c r="J45"/>
  <c r="G46"/>
  <c r="H46"/>
  <c r="I46"/>
  <c r="J46"/>
  <c r="G47"/>
  <c r="H47"/>
  <c r="I47"/>
  <c r="J47"/>
  <c r="G48"/>
  <c r="H48"/>
  <c r="I48"/>
  <c r="J48"/>
  <c r="G49"/>
  <c r="H49"/>
  <c r="I49"/>
  <c r="J49"/>
  <c r="G50"/>
  <c r="H50"/>
  <c r="I50"/>
  <c r="J50"/>
  <c r="G51"/>
  <c r="H51"/>
  <c r="I51"/>
  <c r="J51"/>
  <c r="G52"/>
  <c r="H52"/>
  <c r="I52"/>
  <c r="J52"/>
  <c r="G54"/>
  <c r="H54"/>
  <c r="I54"/>
  <c r="J54"/>
  <c r="G55"/>
  <c r="H55"/>
  <c r="I55"/>
  <c r="J55"/>
  <c r="G56"/>
  <c r="H56"/>
  <c r="I56"/>
  <c r="J56"/>
  <c r="G57"/>
  <c r="H57"/>
  <c r="I57"/>
  <c r="J57"/>
  <c r="G58"/>
  <c r="H58"/>
  <c r="I58"/>
  <c r="J58"/>
  <c r="G59"/>
  <c r="H59"/>
  <c r="I59"/>
  <c r="J59"/>
  <c r="G60"/>
  <c r="H60"/>
  <c r="I60"/>
  <c r="J60"/>
  <c r="G61"/>
  <c r="H61"/>
  <c r="I61"/>
  <c r="J61"/>
  <c r="G62"/>
  <c r="H62"/>
  <c r="I62"/>
  <c r="J62"/>
  <c r="G63"/>
  <c r="H63"/>
  <c r="I63"/>
  <c r="J63"/>
  <c r="G64"/>
  <c r="H64"/>
  <c r="I64"/>
  <c r="J64"/>
  <c r="G65"/>
  <c r="H65"/>
  <c r="I65"/>
  <c r="J65"/>
  <c r="G66"/>
  <c r="H66"/>
  <c r="I66"/>
  <c r="J66"/>
  <c r="G67"/>
  <c r="H67"/>
  <c r="J67"/>
  <c r="G68"/>
  <c r="H68"/>
  <c r="I68"/>
  <c r="G69"/>
  <c r="H69"/>
  <c r="I69"/>
  <c r="J69"/>
  <c r="G70"/>
  <c r="H70"/>
  <c r="I70"/>
  <c r="J70"/>
  <c r="G71"/>
  <c r="H71"/>
  <c r="I71"/>
  <c r="J71"/>
  <c r="G72"/>
  <c r="H72"/>
  <c r="I72"/>
  <c r="J72"/>
  <c r="G73"/>
  <c r="H73"/>
  <c r="I73"/>
  <c r="J73"/>
  <c r="G75"/>
  <c r="H75"/>
  <c r="I75"/>
  <c r="J75"/>
  <c r="G76"/>
  <c r="H76"/>
  <c r="I76"/>
  <c r="J76"/>
  <c r="G77"/>
  <c r="H77"/>
  <c r="I77"/>
  <c r="J77"/>
  <c r="G78"/>
  <c r="H78"/>
  <c r="I78"/>
  <c r="J78"/>
  <c r="G79"/>
  <c r="H79"/>
  <c r="I79"/>
  <c r="J79"/>
  <c r="G80"/>
  <c r="H80"/>
  <c r="I80"/>
  <c r="J80"/>
  <c r="G81"/>
  <c r="H81"/>
  <c r="I81"/>
  <c r="J81"/>
  <c r="G82"/>
  <c r="H82"/>
  <c r="I82"/>
  <c r="J82"/>
  <c r="G83"/>
  <c r="H83"/>
  <c r="J83"/>
  <c r="G84"/>
  <c r="H84"/>
  <c r="I84"/>
  <c r="G85"/>
  <c r="H85"/>
  <c r="I85"/>
  <c r="J85"/>
  <c r="G86"/>
  <c r="H86"/>
  <c r="I86"/>
  <c r="J86"/>
  <c r="G87"/>
  <c r="H87"/>
  <c r="I87"/>
  <c r="J87"/>
  <c r="G88"/>
  <c r="H88"/>
  <c r="I88"/>
  <c r="J88"/>
  <c r="G89"/>
  <c r="H89"/>
  <c r="I89"/>
  <c r="J89"/>
  <c r="G90"/>
  <c r="H90"/>
  <c r="I90"/>
  <c r="J90"/>
  <c r="G91"/>
  <c r="H91"/>
  <c r="I91"/>
  <c r="J91"/>
  <c r="G92"/>
  <c r="H92"/>
  <c r="I92"/>
  <c r="J92"/>
  <c r="G93"/>
  <c r="H93"/>
  <c r="I93"/>
  <c r="J93"/>
  <c r="G94"/>
  <c r="H94"/>
  <c r="I94"/>
  <c r="J94"/>
  <c r="G96"/>
  <c r="H96"/>
  <c r="I96"/>
  <c r="J96"/>
  <c r="G97"/>
  <c r="H97"/>
  <c r="I97"/>
  <c r="J97"/>
  <c r="G98"/>
  <c r="H98"/>
  <c r="I98"/>
  <c r="J98"/>
  <c r="G99"/>
  <c r="H99"/>
  <c r="I99"/>
  <c r="J99"/>
  <c r="G100"/>
  <c r="H100"/>
  <c r="I100"/>
  <c r="J100"/>
  <c r="G101"/>
  <c r="H101"/>
  <c r="I101"/>
  <c r="J101"/>
  <c r="G102"/>
  <c r="H102"/>
  <c r="I102"/>
  <c r="J102"/>
  <c r="G103"/>
  <c r="H103"/>
  <c r="I103"/>
  <c r="J103"/>
  <c r="G104"/>
  <c r="H104"/>
  <c r="I104"/>
  <c r="J104"/>
  <c r="G105"/>
  <c r="H105"/>
  <c r="I105"/>
  <c r="J105"/>
  <c r="G106"/>
  <c r="H106"/>
  <c r="I106"/>
  <c r="J106"/>
  <c r="G107"/>
  <c r="H107"/>
  <c r="I107"/>
  <c r="J107"/>
  <c r="G108"/>
  <c r="H108"/>
  <c r="I108"/>
  <c r="J108"/>
  <c r="G109"/>
  <c r="H109"/>
  <c r="I109"/>
  <c r="J109"/>
  <c r="G110"/>
  <c r="H110"/>
  <c r="I110"/>
  <c r="J110"/>
  <c r="G111"/>
  <c r="H111"/>
  <c r="I111"/>
  <c r="J111"/>
  <c r="G112"/>
  <c r="H112"/>
  <c r="I112"/>
  <c r="J112"/>
  <c r="G113"/>
  <c r="H113"/>
  <c r="I113"/>
  <c r="J113"/>
  <c r="G114"/>
  <c r="H114"/>
  <c r="I114"/>
  <c r="J114"/>
  <c r="G116"/>
  <c r="H116"/>
  <c r="I116"/>
  <c r="J116"/>
  <c r="G117"/>
  <c r="H117"/>
  <c r="I117"/>
  <c r="J117"/>
  <c r="G118"/>
  <c r="H118"/>
  <c r="I118"/>
  <c r="J118"/>
  <c r="G119"/>
  <c r="H119"/>
  <c r="I119"/>
  <c r="J119"/>
  <c r="G120"/>
  <c r="H120"/>
  <c r="I120"/>
  <c r="J120"/>
  <c r="G121"/>
  <c r="H121"/>
  <c r="I121"/>
  <c r="J121"/>
  <c r="G122"/>
  <c r="H122"/>
  <c r="I122"/>
  <c r="J122"/>
  <c r="G123"/>
  <c r="H123"/>
  <c r="I123"/>
  <c r="J123"/>
  <c r="G124"/>
  <c r="H124"/>
  <c r="J124"/>
  <c r="G125"/>
  <c r="H125"/>
  <c r="I125"/>
  <c r="G126"/>
  <c r="H126"/>
  <c r="I126"/>
  <c r="J126"/>
  <c r="G127"/>
  <c r="H127"/>
  <c r="I127"/>
  <c r="J127"/>
  <c r="G128"/>
  <c r="H128"/>
  <c r="I128"/>
  <c r="J128"/>
  <c r="G129"/>
  <c r="H129"/>
  <c r="I129"/>
  <c r="J129"/>
  <c r="G130"/>
  <c r="H130"/>
  <c r="I130"/>
  <c r="J130"/>
  <c r="G131"/>
  <c r="H131"/>
  <c r="I131"/>
  <c r="J131"/>
  <c r="G132"/>
  <c r="H132"/>
  <c r="I132"/>
  <c r="J132"/>
  <c r="G133"/>
  <c r="H133"/>
  <c r="I133"/>
  <c r="J133"/>
  <c r="G134"/>
  <c r="H134"/>
  <c r="I134"/>
  <c r="J134"/>
  <c r="G135"/>
  <c r="H135"/>
  <c r="I135"/>
  <c r="J135"/>
  <c r="G137"/>
  <c r="H137"/>
  <c r="I137"/>
  <c r="J137"/>
  <c r="G138"/>
  <c r="H138"/>
  <c r="I138"/>
  <c r="J138"/>
  <c r="G139"/>
  <c r="H139"/>
  <c r="I139"/>
  <c r="J139"/>
  <c r="G140"/>
  <c r="H140"/>
  <c r="I140"/>
  <c r="J140"/>
  <c r="G141"/>
  <c r="H141"/>
  <c r="I141"/>
  <c r="J141"/>
  <c r="G142"/>
  <c r="H142"/>
  <c r="I142"/>
  <c r="J142"/>
  <c r="G143"/>
  <c r="H143"/>
  <c r="I143"/>
  <c r="J143"/>
  <c r="G144"/>
  <c r="H144"/>
  <c r="I144"/>
  <c r="J144"/>
  <c r="G145"/>
  <c r="H145"/>
  <c r="I145"/>
  <c r="J145"/>
  <c r="G146"/>
  <c r="H146"/>
  <c r="I146"/>
  <c r="J146"/>
  <c r="G147"/>
  <c r="H147"/>
  <c r="I147"/>
  <c r="J147"/>
  <c r="G148"/>
  <c r="H148"/>
  <c r="I148"/>
  <c r="J148"/>
  <c r="G149"/>
  <c r="H149"/>
  <c r="I149"/>
  <c r="J149"/>
  <c r="H151"/>
  <c r="I151"/>
  <c r="J151"/>
  <c r="G152"/>
  <c r="H152"/>
  <c r="I152"/>
  <c r="J152"/>
  <c r="G153"/>
  <c r="H153"/>
  <c r="I153"/>
  <c r="J153"/>
  <c r="G154"/>
  <c r="H154"/>
  <c r="I154"/>
  <c r="J154"/>
  <c r="G155"/>
  <c r="I155"/>
  <c r="J155"/>
  <c r="G156"/>
  <c r="H156"/>
  <c r="I156"/>
  <c r="J156"/>
  <c r="G157"/>
  <c r="H157"/>
  <c r="I157"/>
  <c r="J157"/>
  <c r="G158"/>
  <c r="H158"/>
  <c r="I158"/>
  <c r="J158"/>
  <c r="G159"/>
  <c r="H159"/>
  <c r="J159"/>
  <c r="G160"/>
  <c r="H160"/>
  <c r="I160"/>
  <c r="G161"/>
  <c r="H161"/>
  <c r="I161"/>
  <c r="J161"/>
  <c r="G162"/>
  <c r="H162"/>
  <c r="I162"/>
  <c r="J162"/>
  <c r="G163"/>
  <c r="H163"/>
  <c r="I163"/>
  <c r="J163"/>
  <c r="G164"/>
  <c r="H164"/>
  <c r="I164"/>
  <c r="J164"/>
  <c r="G165"/>
  <c r="H165"/>
  <c r="I165"/>
  <c r="J165"/>
  <c r="G166"/>
  <c r="H166"/>
  <c r="I166"/>
  <c r="J166"/>
  <c r="G167"/>
  <c r="H167"/>
  <c r="I167"/>
  <c r="J167"/>
  <c r="G168"/>
  <c r="H168"/>
  <c r="I168"/>
  <c r="J168"/>
  <c r="G169"/>
  <c r="H169"/>
  <c r="I169"/>
  <c r="J169"/>
  <c r="G170"/>
  <c r="H170"/>
  <c r="I170"/>
  <c r="J170"/>
  <c r="G171"/>
  <c r="H171"/>
  <c r="I171"/>
  <c r="J171"/>
  <c r="G174"/>
  <c r="H174"/>
  <c r="I174"/>
  <c r="J174"/>
  <c r="G175"/>
  <c r="H175"/>
  <c r="I175"/>
  <c r="J175"/>
  <c r="G176"/>
  <c r="H176"/>
  <c r="I176"/>
  <c r="J176"/>
  <c r="G177"/>
  <c r="H177"/>
  <c r="I177"/>
  <c r="J177"/>
  <c r="G178"/>
  <c r="H178"/>
  <c r="I178"/>
  <c r="J178"/>
  <c r="G179"/>
  <c r="H179"/>
  <c r="I179"/>
  <c r="J179"/>
  <c r="G180"/>
  <c r="H180"/>
  <c r="I180"/>
  <c r="J180"/>
  <c r="G181"/>
  <c r="H181"/>
  <c r="I181"/>
  <c r="J181"/>
  <c r="G182"/>
  <c r="H182"/>
  <c r="J182"/>
  <c r="G183"/>
  <c r="H183"/>
  <c r="I183"/>
  <c r="G184"/>
  <c r="H184"/>
  <c r="I184"/>
  <c r="J184"/>
  <c r="G185"/>
  <c r="H185"/>
  <c r="I185"/>
  <c r="J185"/>
  <c r="G186"/>
  <c r="H186"/>
  <c r="I186"/>
  <c r="J186"/>
  <c r="G187"/>
  <c r="H187"/>
  <c r="I187"/>
  <c r="J187"/>
  <c r="G188"/>
  <c r="H188"/>
  <c r="I188"/>
  <c r="J188"/>
  <c r="G189"/>
  <c r="H189"/>
  <c r="I189"/>
  <c r="J189"/>
  <c r="G190"/>
  <c r="H190"/>
  <c r="I190"/>
  <c r="J190"/>
  <c r="G191"/>
  <c r="H191"/>
  <c r="I191"/>
  <c r="J191"/>
  <c r="G192"/>
  <c r="H192"/>
  <c r="I192"/>
  <c r="J192"/>
  <c r="G193"/>
  <c r="H193"/>
  <c r="I193"/>
  <c r="J193"/>
  <c r="H195"/>
  <c r="I195"/>
  <c r="J195"/>
  <c r="G196"/>
  <c r="H196"/>
  <c r="I196"/>
  <c r="J196"/>
  <c r="G197"/>
  <c r="H197"/>
  <c r="I197"/>
  <c r="J197"/>
  <c r="G198"/>
  <c r="H198"/>
  <c r="I198"/>
  <c r="J198"/>
  <c r="G199"/>
  <c r="H199"/>
  <c r="I199"/>
  <c r="J199"/>
  <c r="G200"/>
  <c r="H200"/>
  <c r="I200"/>
  <c r="J200"/>
  <c r="G201"/>
  <c r="H201"/>
  <c r="I201"/>
  <c r="J201"/>
  <c r="G202"/>
  <c r="H202"/>
  <c r="I202"/>
  <c r="J202"/>
  <c r="G203"/>
  <c r="H203"/>
  <c r="I203"/>
  <c r="J203"/>
  <c r="G204"/>
  <c r="H204"/>
  <c r="J204"/>
  <c r="G205"/>
  <c r="H205"/>
  <c r="I205"/>
  <c r="G206"/>
  <c r="H206"/>
  <c r="I206"/>
  <c r="J206"/>
  <c r="G207"/>
  <c r="H207"/>
  <c r="I207"/>
  <c r="J207"/>
  <c r="G208"/>
  <c r="H208"/>
  <c r="I208"/>
  <c r="J208"/>
  <c r="G209"/>
  <c r="H209"/>
  <c r="I209"/>
  <c r="J209"/>
  <c r="G210"/>
  <c r="H210"/>
  <c r="I210"/>
  <c r="J210"/>
  <c r="G211"/>
  <c r="H211"/>
  <c r="I211"/>
  <c r="J211"/>
  <c r="G212"/>
  <c r="H212"/>
  <c r="I212"/>
  <c r="J212"/>
  <c r="G213"/>
  <c r="H213"/>
  <c r="I213"/>
  <c r="J213"/>
  <c r="G214"/>
  <c r="H214"/>
  <c r="I214"/>
  <c r="J214"/>
  <c r="G215"/>
  <c r="H215"/>
  <c r="I215"/>
  <c r="J215"/>
  <c r="G216"/>
  <c r="H216"/>
  <c r="I216"/>
  <c r="J216"/>
  <c r="H218"/>
  <c r="I218"/>
  <c r="J218"/>
  <c r="G219"/>
  <c r="H219"/>
  <c r="I219"/>
  <c r="J219"/>
  <c r="G220"/>
  <c r="H220"/>
  <c r="I220"/>
  <c r="J220"/>
  <c r="G221"/>
  <c r="H221"/>
  <c r="I221"/>
  <c r="J221"/>
  <c r="G222"/>
  <c r="H222"/>
  <c r="I222"/>
  <c r="J222"/>
  <c r="G223"/>
  <c r="H223"/>
  <c r="I223"/>
  <c r="J223"/>
  <c r="G224"/>
  <c r="H224"/>
  <c r="I224"/>
  <c r="J224"/>
  <c r="G225"/>
  <c r="H225"/>
  <c r="I225"/>
  <c r="J225"/>
  <c r="G226"/>
  <c r="H226"/>
  <c r="I226"/>
  <c r="J226"/>
  <c r="G227"/>
  <c r="H227"/>
  <c r="I227"/>
  <c r="J227"/>
  <c r="G228"/>
  <c r="H228"/>
  <c r="I228"/>
  <c r="J228"/>
  <c r="G229"/>
  <c r="H229"/>
  <c r="I229"/>
  <c r="J229"/>
  <c r="G230"/>
  <c r="H230"/>
  <c r="I230"/>
  <c r="J230"/>
  <c r="G231"/>
  <c r="H231"/>
  <c r="I231"/>
  <c r="J231"/>
  <c r="G232"/>
  <c r="H232"/>
  <c r="I232"/>
  <c r="J232"/>
  <c r="G233"/>
  <c r="H233"/>
  <c r="I233"/>
  <c r="J233"/>
  <c r="G234"/>
  <c r="H234"/>
  <c r="I234"/>
  <c r="J234"/>
  <c r="G235"/>
  <c r="H235"/>
  <c r="I235"/>
  <c r="J235"/>
  <c r="G236"/>
  <c r="H236"/>
  <c r="I236"/>
  <c r="J236"/>
  <c r="G237"/>
  <c r="H237"/>
  <c r="I237"/>
  <c r="J237"/>
  <c r="G239"/>
  <c r="H239"/>
  <c r="I239"/>
  <c r="J239"/>
  <c r="G240"/>
  <c r="H240"/>
  <c r="I240"/>
  <c r="J240"/>
  <c r="G241"/>
  <c r="H241"/>
  <c r="I241"/>
  <c r="J241"/>
  <c r="G242"/>
  <c r="H242"/>
  <c r="I242"/>
  <c r="J242"/>
  <c r="G243"/>
  <c r="H243"/>
  <c r="I243"/>
  <c r="J243"/>
  <c r="G244"/>
  <c r="H244"/>
  <c r="I244"/>
  <c r="J244"/>
  <c r="G245"/>
  <c r="H245"/>
  <c r="I245"/>
  <c r="J245"/>
  <c r="G246"/>
  <c r="H246"/>
  <c r="I246"/>
  <c r="J246"/>
  <c r="G247"/>
  <c r="H247"/>
  <c r="I247"/>
  <c r="J247"/>
  <c r="G248"/>
  <c r="H248"/>
  <c r="I248"/>
  <c r="J248"/>
  <c r="G249"/>
  <c r="H249"/>
  <c r="I249"/>
  <c r="J249"/>
  <c r="G250"/>
  <c r="H250"/>
  <c r="I250"/>
  <c r="J250"/>
  <c r="G251"/>
  <c r="H251"/>
  <c r="I251"/>
  <c r="J251"/>
  <c r="G252"/>
  <c r="H252"/>
  <c r="I252"/>
  <c r="J252"/>
  <c r="G253"/>
  <c r="H253"/>
  <c r="I253"/>
  <c r="J253"/>
  <c r="G254"/>
  <c r="H254"/>
  <c r="I254"/>
  <c r="J254"/>
  <c r="G255"/>
  <c r="H255"/>
  <c r="I255"/>
  <c r="J255"/>
  <c r="G256"/>
  <c r="H256"/>
  <c r="I256"/>
  <c r="J256"/>
  <c r="G257"/>
  <c r="H257"/>
  <c r="I257"/>
  <c r="J257"/>
  <c r="G259"/>
  <c r="H259"/>
  <c r="I259"/>
  <c r="J259"/>
  <c r="G260"/>
  <c r="H260"/>
  <c r="I260"/>
  <c r="J260"/>
  <c r="G261"/>
  <c r="H261"/>
  <c r="I261"/>
  <c r="J261"/>
  <c r="G262"/>
  <c r="H262"/>
  <c r="I262"/>
  <c r="J262"/>
  <c r="G263"/>
  <c r="H263"/>
  <c r="I263"/>
  <c r="J263"/>
  <c r="G264"/>
  <c r="H264"/>
  <c r="I264"/>
  <c r="J264"/>
  <c r="G265"/>
  <c r="H265"/>
  <c r="I265"/>
  <c r="J265"/>
  <c r="G266"/>
  <c r="H266"/>
  <c r="I266"/>
  <c r="J266"/>
  <c r="G267"/>
  <c r="H267"/>
  <c r="I267"/>
  <c r="J267"/>
  <c r="G268"/>
  <c r="H268"/>
  <c r="I268"/>
  <c r="J268"/>
  <c r="G269"/>
  <c r="H269"/>
  <c r="I269"/>
  <c r="J269"/>
  <c r="G270"/>
  <c r="H270"/>
  <c r="I270"/>
  <c r="J270"/>
  <c r="G271"/>
  <c r="H271"/>
  <c r="I271"/>
  <c r="J271"/>
  <c r="G272"/>
  <c r="H272"/>
  <c r="I272"/>
  <c r="J272"/>
  <c r="G273"/>
  <c r="H273"/>
  <c r="I273"/>
  <c r="J273"/>
  <c r="G274"/>
  <c r="H274"/>
  <c r="I274"/>
  <c r="J274"/>
  <c r="G275"/>
  <c r="H275"/>
  <c r="I275"/>
  <c r="J275"/>
  <c r="G276"/>
  <c r="H276"/>
  <c r="I276"/>
  <c r="J276"/>
  <c r="G277"/>
  <c r="H277"/>
  <c r="I277"/>
  <c r="J277"/>
  <c r="G285"/>
  <c r="H285"/>
  <c r="I285"/>
  <c r="J285"/>
  <c r="G286"/>
  <c r="H286"/>
  <c r="I286"/>
  <c r="J286"/>
  <c r="G287"/>
  <c r="H287"/>
  <c r="I287"/>
  <c r="J287"/>
  <c r="G288"/>
  <c r="H288"/>
  <c r="I288"/>
  <c r="J288"/>
  <c r="G289"/>
  <c r="H289"/>
  <c r="I289"/>
  <c r="J289"/>
  <c r="G290"/>
  <c r="H290"/>
  <c r="I290"/>
  <c r="J290"/>
  <c r="G291"/>
  <c r="H291"/>
  <c r="I291"/>
  <c r="G292"/>
  <c r="H292"/>
  <c r="I292"/>
  <c r="J292"/>
  <c r="G293"/>
  <c r="H293"/>
  <c r="I293"/>
  <c r="J293"/>
  <c r="G294"/>
  <c r="H294"/>
  <c r="I294"/>
  <c r="J294"/>
  <c r="G295"/>
  <c r="H295"/>
  <c r="I295"/>
  <c r="J295"/>
  <c r="G296"/>
  <c r="H296"/>
  <c r="I296"/>
  <c r="J296"/>
  <c r="G297"/>
  <c r="H297"/>
  <c r="I297"/>
  <c r="J297"/>
  <c r="G298"/>
  <c r="H298"/>
  <c r="I298"/>
  <c r="J298"/>
  <c r="G299"/>
  <c r="H299"/>
  <c r="I299"/>
  <c r="J299"/>
  <c r="G300"/>
  <c r="H300"/>
  <c r="I300"/>
  <c r="J300"/>
  <c r="G301"/>
  <c r="H301"/>
  <c r="I301"/>
  <c r="J301"/>
  <c r="G303"/>
  <c r="H303"/>
  <c r="I303"/>
  <c r="J303"/>
  <c r="G304"/>
  <c r="H304"/>
  <c r="I304"/>
  <c r="J304"/>
  <c r="G305"/>
  <c r="H305"/>
  <c r="I305"/>
  <c r="J305"/>
  <c r="G306"/>
  <c r="H306"/>
  <c r="I306"/>
  <c r="J306"/>
  <c r="G307"/>
  <c r="H307"/>
  <c r="I307"/>
  <c r="J307"/>
  <c r="G308"/>
  <c r="H308"/>
  <c r="I308"/>
  <c r="J308"/>
  <c r="G309"/>
  <c r="H309"/>
  <c r="I309"/>
  <c r="J309"/>
  <c r="G310"/>
  <c r="H310"/>
  <c r="I310"/>
  <c r="J310"/>
  <c r="G311"/>
  <c r="H311"/>
  <c r="I311"/>
  <c r="J311"/>
  <c r="G312"/>
  <c r="H312"/>
  <c r="I312"/>
  <c r="J312"/>
  <c r="G313"/>
  <c r="H313"/>
  <c r="I313"/>
  <c r="J313"/>
  <c r="G314"/>
  <c r="H314"/>
  <c r="I314"/>
  <c r="J314"/>
  <c r="G315"/>
  <c r="H315"/>
  <c r="I315"/>
  <c r="J315"/>
  <c r="G316"/>
  <c r="H316"/>
  <c r="I316"/>
  <c r="J316"/>
  <c r="G318"/>
  <c r="H318"/>
  <c r="I318"/>
  <c r="J318"/>
  <c r="G319"/>
  <c r="H319"/>
  <c r="I319"/>
  <c r="J319"/>
  <c r="G320"/>
  <c r="H320"/>
  <c r="I320"/>
  <c r="J320"/>
  <c r="G321"/>
  <c r="H321"/>
  <c r="I321"/>
  <c r="J321"/>
  <c r="G322"/>
  <c r="H322"/>
  <c r="I322"/>
  <c r="J322"/>
  <c r="G323"/>
  <c r="H323"/>
  <c r="I323"/>
  <c r="J323"/>
  <c r="G324"/>
  <c r="H324"/>
  <c r="I324"/>
  <c r="J324"/>
  <c r="G325"/>
  <c r="H325"/>
  <c r="I325"/>
  <c r="J325"/>
  <c r="G329"/>
  <c r="H329"/>
  <c r="I329"/>
  <c r="J329"/>
  <c r="G330"/>
  <c r="H330"/>
  <c r="I330"/>
  <c r="J330"/>
  <c r="G331"/>
  <c r="H331"/>
  <c r="I331"/>
  <c r="J331"/>
  <c r="G332"/>
  <c r="H332"/>
  <c r="I332"/>
  <c r="J332"/>
  <c r="G333"/>
  <c r="H333"/>
  <c r="I333"/>
  <c r="J333"/>
  <c r="G334"/>
  <c r="H334"/>
  <c r="I334"/>
  <c r="J334"/>
  <c r="G335"/>
  <c r="H335"/>
  <c r="I335"/>
  <c r="J335"/>
  <c r="G336"/>
  <c r="H336"/>
  <c r="I336"/>
  <c r="J336"/>
  <c r="G337"/>
  <c r="H337"/>
  <c r="I337"/>
  <c r="J337"/>
  <c r="G338"/>
  <c r="H338"/>
  <c r="J338"/>
  <c r="G339"/>
  <c r="H339"/>
  <c r="I339"/>
  <c r="G340"/>
  <c r="H340"/>
  <c r="I340"/>
  <c r="J340"/>
  <c r="G341"/>
  <c r="H341"/>
  <c r="I341"/>
  <c r="J341"/>
  <c r="G342"/>
  <c r="H342"/>
  <c r="I342"/>
  <c r="J342"/>
  <c r="G343"/>
  <c r="H343"/>
  <c r="I343"/>
  <c r="J343"/>
  <c r="G344"/>
  <c r="H344"/>
  <c r="I344"/>
  <c r="J344"/>
  <c r="G345"/>
  <c r="H345"/>
  <c r="I345"/>
  <c r="J345"/>
  <c r="H347"/>
  <c r="I347"/>
  <c r="J347"/>
  <c r="G348"/>
  <c r="H348"/>
  <c r="I348"/>
  <c r="J348"/>
  <c r="G349"/>
  <c r="H349"/>
  <c r="I349"/>
  <c r="J349"/>
  <c r="G350"/>
  <c r="H350"/>
  <c r="I350"/>
  <c r="J350"/>
  <c r="G351"/>
  <c r="H351"/>
  <c r="I351"/>
  <c r="J351"/>
  <c r="G352"/>
  <c r="H352"/>
  <c r="J352"/>
  <c r="G353"/>
  <c r="H353"/>
  <c r="I353"/>
  <c r="G354"/>
  <c r="H354"/>
  <c r="I354"/>
  <c r="J354"/>
  <c r="G355"/>
  <c r="H355"/>
  <c r="I355"/>
  <c r="J355"/>
  <c r="G356"/>
  <c r="H356"/>
  <c r="I356"/>
  <c r="J356"/>
  <c r="G357"/>
  <c r="H357"/>
  <c r="I357"/>
  <c r="J357"/>
  <c r="G358"/>
  <c r="H358"/>
  <c r="I358"/>
  <c r="J358"/>
  <c r="G359"/>
  <c r="H359"/>
  <c r="I359"/>
  <c r="J359"/>
  <c r="G360"/>
  <c r="H360"/>
  <c r="I360"/>
  <c r="J360"/>
  <c r="G361"/>
  <c r="H361"/>
  <c r="I361"/>
  <c r="J361"/>
  <c r="G362"/>
  <c r="H362"/>
  <c r="I362"/>
  <c r="J362"/>
  <c r="G363"/>
  <c r="H363"/>
  <c r="I363"/>
  <c r="J363"/>
  <c r="G364"/>
  <c r="H364"/>
  <c r="I364"/>
  <c r="J364"/>
  <c r="G371"/>
  <c r="H371"/>
  <c r="I371"/>
  <c r="J371"/>
  <c r="G372"/>
  <c r="H372"/>
  <c r="I372"/>
  <c r="J372"/>
  <c r="G373"/>
  <c r="H373"/>
  <c r="I373"/>
  <c r="J373"/>
  <c r="G374"/>
  <c r="H374"/>
  <c r="I374"/>
  <c r="J374"/>
  <c r="G375"/>
  <c r="H375"/>
  <c r="I375"/>
  <c r="J375"/>
  <c r="G376"/>
  <c r="H376"/>
  <c r="I376"/>
  <c r="J376"/>
  <c r="G377"/>
  <c r="H377"/>
  <c r="I377"/>
  <c r="J377"/>
  <c r="G378"/>
  <c r="H378"/>
  <c r="I378"/>
  <c r="J378"/>
  <c r="G379"/>
  <c r="H379"/>
  <c r="J379"/>
  <c r="G380"/>
  <c r="H380"/>
  <c r="I380"/>
  <c r="G381"/>
  <c r="H381"/>
  <c r="I381"/>
  <c r="J381"/>
  <c r="G382"/>
  <c r="H382"/>
  <c r="I382"/>
  <c r="J382"/>
  <c r="G383"/>
  <c r="H383"/>
  <c r="I383"/>
  <c r="J383"/>
  <c r="G384"/>
  <c r="H384"/>
  <c r="I384"/>
  <c r="J384"/>
  <c r="G385"/>
  <c r="H385"/>
  <c r="I385"/>
  <c r="J385"/>
  <c r="G386"/>
  <c r="H386"/>
  <c r="I386"/>
  <c r="J386"/>
  <c r="G387"/>
  <c r="H387"/>
  <c r="I387"/>
  <c r="J387"/>
  <c r="G388"/>
  <c r="H388"/>
  <c r="I388"/>
  <c r="J388"/>
  <c r="G389"/>
  <c r="H389"/>
  <c r="I389"/>
  <c r="J389"/>
  <c r="G390"/>
  <c r="H390"/>
  <c r="I390"/>
  <c r="J390"/>
  <c r="G392"/>
  <c r="H392"/>
  <c r="I392"/>
  <c r="J392"/>
  <c r="G393"/>
  <c r="H393"/>
  <c r="I393"/>
  <c r="J393"/>
  <c r="G394"/>
  <c r="H394"/>
  <c r="I394"/>
  <c r="J394"/>
  <c r="G395"/>
  <c r="H395"/>
  <c r="I395"/>
  <c r="J395"/>
  <c r="G396"/>
  <c r="H396"/>
  <c r="I396"/>
  <c r="J396"/>
  <c r="G397"/>
  <c r="H397"/>
  <c r="I397"/>
  <c r="J397"/>
  <c r="G398"/>
  <c r="H398"/>
  <c r="I398"/>
  <c r="J398"/>
  <c r="G399"/>
  <c r="H399"/>
  <c r="I399"/>
  <c r="J399"/>
  <c r="G400"/>
  <c r="H400"/>
  <c r="I400"/>
  <c r="J400"/>
  <c r="G401"/>
  <c r="H401"/>
  <c r="J401"/>
  <c r="G402"/>
  <c r="H402"/>
  <c r="I402"/>
  <c r="G403"/>
  <c r="H403"/>
  <c r="I403"/>
  <c r="J403"/>
  <c r="G404"/>
  <c r="H404"/>
  <c r="I404"/>
  <c r="J404"/>
  <c r="G405"/>
  <c r="H405"/>
  <c r="I405"/>
  <c r="J405"/>
  <c r="G406"/>
  <c r="H406"/>
  <c r="I406"/>
  <c r="J406"/>
  <c r="G407"/>
  <c r="H407"/>
  <c r="I407"/>
  <c r="J407"/>
  <c r="G408"/>
  <c r="H408"/>
  <c r="I408"/>
  <c r="J408"/>
  <c r="G409"/>
  <c r="H409"/>
  <c r="I409"/>
  <c r="J409"/>
  <c r="G410"/>
  <c r="H410"/>
  <c r="I410"/>
  <c r="J410"/>
  <c r="G411"/>
  <c r="H411"/>
  <c r="I411"/>
  <c r="J411"/>
  <c r="G412"/>
  <c r="H412"/>
  <c r="I412"/>
  <c r="J412"/>
  <c r="G414"/>
  <c r="H414"/>
  <c r="I414"/>
  <c r="J414"/>
  <c r="G415"/>
  <c r="H415"/>
  <c r="I415"/>
  <c r="J415"/>
  <c r="G416"/>
  <c r="H416"/>
  <c r="I416"/>
  <c r="J416"/>
  <c r="G417"/>
  <c r="H417"/>
  <c r="I417"/>
  <c r="J417"/>
  <c r="G418"/>
  <c r="I418"/>
  <c r="J418"/>
  <c r="G419"/>
  <c r="H419"/>
  <c r="I419"/>
  <c r="J419"/>
  <c r="G420"/>
  <c r="H420"/>
  <c r="I420"/>
  <c r="J420"/>
  <c r="G421"/>
  <c r="H421"/>
  <c r="I421"/>
  <c r="J421"/>
  <c r="G422"/>
  <c r="H422"/>
  <c r="I422"/>
  <c r="J422"/>
  <c r="G423"/>
  <c r="H423"/>
  <c r="I423"/>
  <c r="J423"/>
  <c r="G424"/>
  <c r="H424"/>
  <c r="I424"/>
  <c r="J424"/>
  <c r="G425"/>
  <c r="H425"/>
  <c r="I425"/>
  <c r="J425"/>
  <c r="G426"/>
  <c r="H426"/>
  <c r="I426"/>
  <c r="J426"/>
  <c r="G427"/>
  <c r="H427"/>
  <c r="I427"/>
  <c r="J427"/>
  <c r="G428"/>
  <c r="H428"/>
  <c r="I428"/>
  <c r="J428"/>
  <c r="G429"/>
  <c r="H429"/>
  <c r="I429"/>
  <c r="J429"/>
  <c r="G430"/>
  <c r="H430"/>
  <c r="I430"/>
  <c r="J430"/>
  <c r="G431"/>
  <c r="H431"/>
  <c r="I431"/>
  <c r="J431"/>
  <c r="G432"/>
  <c r="H432"/>
  <c r="I432"/>
  <c r="J432"/>
  <c r="G433"/>
  <c r="H433"/>
  <c r="I433"/>
  <c r="J433"/>
  <c r="G434"/>
  <c r="H434"/>
  <c r="I434"/>
  <c r="J434"/>
  <c r="G435"/>
  <c r="H435"/>
  <c r="I435"/>
  <c r="J435"/>
  <c r="G437"/>
  <c r="H437"/>
  <c r="I437"/>
  <c r="J437"/>
  <c r="G438"/>
  <c r="H438"/>
  <c r="I438"/>
  <c r="J438"/>
  <c r="G439"/>
  <c r="H439"/>
  <c r="I439"/>
  <c r="J439"/>
  <c r="G440"/>
  <c r="H440"/>
  <c r="I440"/>
  <c r="J440"/>
  <c r="G441"/>
  <c r="H441"/>
  <c r="I441"/>
  <c r="J441"/>
  <c r="G442"/>
  <c r="H442"/>
  <c r="I442"/>
  <c r="J442"/>
  <c r="G443"/>
  <c r="H443"/>
  <c r="I443"/>
  <c r="J443"/>
  <c r="G444"/>
  <c r="H444"/>
  <c r="I444"/>
  <c r="J444"/>
  <c r="G445"/>
  <c r="H445"/>
  <c r="I445"/>
  <c r="J445"/>
  <c r="G446"/>
  <c r="H446"/>
  <c r="I446"/>
  <c r="J446"/>
  <c r="G447"/>
  <c r="H447"/>
  <c r="I447"/>
  <c r="J447"/>
  <c r="G448"/>
  <c r="H448"/>
  <c r="I448"/>
  <c r="J448"/>
  <c r="G449"/>
  <c r="H449"/>
  <c r="I449"/>
  <c r="J449"/>
  <c r="G450"/>
  <c r="H450"/>
  <c r="I450"/>
  <c r="J450"/>
  <c r="G451"/>
  <c r="H451"/>
  <c r="I451"/>
  <c r="J451"/>
  <c r="G452"/>
  <c r="H452"/>
  <c r="I452"/>
  <c r="J452"/>
  <c r="G453"/>
  <c r="H453"/>
  <c r="I453"/>
  <c r="J453"/>
  <c r="G454"/>
  <c r="H454"/>
  <c r="I454"/>
  <c r="J454"/>
  <c r="G455"/>
  <c r="H455"/>
  <c r="I455"/>
  <c r="J455"/>
  <c r="G460"/>
  <c r="H460"/>
  <c r="I460"/>
  <c r="J460"/>
  <c r="G461"/>
  <c r="H461"/>
  <c r="I461"/>
  <c r="J461"/>
  <c r="G462"/>
  <c r="H462"/>
  <c r="I462"/>
  <c r="J462"/>
  <c r="G463"/>
  <c r="H463"/>
  <c r="I463"/>
  <c r="J463"/>
  <c r="G464"/>
  <c r="H464"/>
  <c r="I464"/>
  <c r="J464"/>
  <c r="G465"/>
  <c r="H465"/>
  <c r="I465"/>
  <c r="J465"/>
  <c r="G466"/>
  <c r="H466"/>
  <c r="I466"/>
  <c r="J466"/>
  <c r="G472"/>
  <c r="H472"/>
  <c r="I472"/>
  <c r="J472"/>
  <c r="G473"/>
  <c r="H473"/>
  <c r="I473"/>
  <c r="J473"/>
  <c r="G474"/>
  <c r="H474"/>
  <c r="I474"/>
  <c r="J474"/>
  <c r="G475"/>
  <c r="H475"/>
  <c r="I475"/>
  <c r="J475"/>
  <c r="G476"/>
  <c r="H476"/>
  <c r="I476"/>
  <c r="J476"/>
  <c r="G477"/>
  <c r="H477"/>
  <c r="I477"/>
  <c r="J477"/>
  <c r="G478"/>
  <c r="H478"/>
  <c r="I478"/>
  <c r="J478"/>
  <c r="G479"/>
  <c r="H479"/>
  <c r="I479"/>
  <c r="J479"/>
  <c r="G480"/>
  <c r="H480"/>
  <c r="J480"/>
  <c r="G481"/>
  <c r="H481"/>
  <c r="I481"/>
  <c r="G482"/>
  <c r="H482"/>
  <c r="I482"/>
  <c r="J482"/>
  <c r="G483"/>
  <c r="H483"/>
  <c r="I483"/>
  <c r="J483"/>
  <c r="G484"/>
  <c r="H484"/>
  <c r="I484"/>
  <c r="J484"/>
  <c r="G485"/>
  <c r="H485"/>
  <c r="I485"/>
  <c r="J485"/>
  <c r="G486"/>
  <c r="H486"/>
  <c r="I486"/>
  <c r="J486"/>
  <c r="G487"/>
  <c r="H487"/>
  <c r="I487"/>
  <c r="J487"/>
  <c r="G488"/>
  <c r="H488"/>
  <c r="I488"/>
  <c r="J488"/>
  <c r="G489"/>
  <c r="H489"/>
  <c r="I489"/>
  <c r="J489"/>
  <c r="G490"/>
  <c r="H490"/>
  <c r="I490"/>
  <c r="J490"/>
  <c r="G491"/>
  <c r="H491"/>
  <c r="I491"/>
  <c r="J491"/>
  <c r="G493"/>
  <c r="H493"/>
  <c r="I493"/>
  <c r="J493"/>
  <c r="G494"/>
  <c r="H494"/>
  <c r="I494"/>
  <c r="J494"/>
  <c r="G495"/>
  <c r="H495"/>
  <c r="I495"/>
  <c r="J495"/>
  <c r="G496"/>
  <c r="H496"/>
  <c r="I496"/>
  <c r="J496"/>
  <c r="G497"/>
  <c r="H497"/>
  <c r="I497"/>
  <c r="J497"/>
  <c r="G498"/>
  <c r="I498"/>
  <c r="J498"/>
  <c r="G499"/>
  <c r="H499"/>
  <c r="I499"/>
  <c r="J499"/>
  <c r="G500"/>
  <c r="H500"/>
  <c r="I500"/>
  <c r="J500"/>
  <c r="G501"/>
  <c r="H501"/>
  <c r="I501"/>
  <c r="J501"/>
  <c r="G502"/>
  <c r="H502"/>
  <c r="J502"/>
  <c r="G503"/>
  <c r="H503"/>
  <c r="I503"/>
  <c r="G504"/>
  <c r="H504"/>
  <c r="I504"/>
  <c r="J504"/>
  <c r="G505"/>
  <c r="H505"/>
  <c r="I505"/>
  <c r="J505"/>
  <c r="G506"/>
  <c r="H506"/>
  <c r="I506"/>
  <c r="J506"/>
  <c r="G507"/>
  <c r="H507"/>
  <c r="I507"/>
  <c r="J507"/>
  <c r="G508"/>
  <c r="H508"/>
  <c r="I508"/>
  <c r="J508"/>
  <c r="G509"/>
  <c r="H509"/>
  <c r="I509"/>
  <c r="J509"/>
  <c r="G510"/>
  <c r="H510"/>
  <c r="I510"/>
  <c r="J510"/>
  <c r="G511"/>
  <c r="H511"/>
  <c r="I511"/>
  <c r="J511"/>
  <c r="G512"/>
  <c r="H512"/>
  <c r="I512"/>
  <c r="J512"/>
  <c r="G513"/>
  <c r="H513"/>
  <c r="I513"/>
  <c r="J513"/>
  <c r="G514"/>
  <c r="H514"/>
  <c r="I514"/>
  <c r="J514"/>
  <c r="G521"/>
  <c r="H521"/>
  <c r="I521"/>
  <c r="J521"/>
  <c r="G522"/>
  <c r="H522"/>
  <c r="I522"/>
  <c r="J522"/>
  <c r="G523"/>
  <c r="H523"/>
  <c r="I523"/>
  <c r="J523"/>
  <c r="G524"/>
  <c r="H524"/>
  <c r="I524"/>
  <c r="J524"/>
  <c r="G530"/>
  <c r="H530"/>
  <c r="I530"/>
  <c r="J530"/>
  <c r="G531"/>
  <c r="H531"/>
  <c r="I531"/>
  <c r="J531"/>
  <c r="G532"/>
  <c r="H532"/>
  <c r="I532"/>
  <c r="J532"/>
  <c r="G533"/>
  <c r="H533"/>
  <c r="I533"/>
  <c r="J533"/>
  <c r="G534"/>
  <c r="H534"/>
  <c r="I534"/>
  <c r="J534"/>
  <c r="G535"/>
  <c r="H535"/>
  <c r="I535"/>
  <c r="J535"/>
  <c r="G536"/>
  <c r="H536"/>
  <c r="I536"/>
  <c r="J536"/>
  <c r="G537"/>
  <c r="H537"/>
  <c r="I537"/>
  <c r="J537"/>
  <c r="G538"/>
  <c r="H538"/>
  <c r="J538"/>
  <c r="G539"/>
  <c r="H539"/>
  <c r="I539"/>
  <c r="G540"/>
  <c r="H540"/>
  <c r="I540"/>
  <c r="J540"/>
  <c r="G541"/>
  <c r="H541"/>
  <c r="I541"/>
  <c r="J541"/>
  <c r="G542"/>
  <c r="H542"/>
  <c r="I542"/>
  <c r="J542"/>
  <c r="G543"/>
  <c r="H543"/>
  <c r="I543"/>
  <c r="J543"/>
  <c r="G544"/>
  <c r="H544"/>
  <c r="I544"/>
  <c r="J544"/>
  <c r="G545"/>
  <c r="H545"/>
  <c r="I545"/>
  <c r="J545"/>
  <c r="G546"/>
  <c r="H546"/>
  <c r="I546"/>
  <c r="J546"/>
  <c r="G547"/>
  <c r="H547"/>
  <c r="I547"/>
  <c r="J547"/>
  <c r="G548"/>
  <c r="H548"/>
  <c r="I548"/>
  <c r="J548"/>
  <c r="G549"/>
  <c r="H549"/>
  <c r="I549"/>
  <c r="J549"/>
  <c r="G551"/>
  <c r="H551"/>
  <c r="I551"/>
  <c r="J551"/>
  <c r="G552"/>
  <c r="H552"/>
  <c r="I552"/>
  <c r="J552"/>
  <c r="G553"/>
  <c r="H553"/>
  <c r="I553"/>
  <c r="J553"/>
  <c r="G554"/>
  <c r="H554"/>
  <c r="I554"/>
  <c r="J554"/>
  <c r="G555"/>
  <c r="I555"/>
  <c r="J555"/>
  <c r="G556"/>
  <c r="H556"/>
  <c r="I556"/>
  <c r="J556"/>
  <c r="G557"/>
  <c r="H557"/>
  <c r="I557"/>
  <c r="J557"/>
  <c r="G558"/>
  <c r="H558"/>
  <c r="I558"/>
  <c r="J558"/>
  <c r="G559"/>
  <c r="H559"/>
  <c r="J559"/>
  <c r="G560"/>
  <c r="H560"/>
  <c r="I560"/>
  <c r="J560"/>
  <c r="G561"/>
  <c r="H561"/>
  <c r="I561"/>
  <c r="J561"/>
  <c r="G562"/>
  <c r="H562"/>
  <c r="I562"/>
  <c r="J562"/>
  <c r="G563"/>
  <c r="H563"/>
  <c r="I563"/>
  <c r="J563"/>
  <c r="G564"/>
  <c r="H564"/>
  <c r="I564"/>
  <c r="J564"/>
  <c r="G565"/>
  <c r="H565"/>
  <c r="I565"/>
  <c r="J565"/>
  <c r="G566"/>
  <c r="H566"/>
  <c r="I566"/>
  <c r="J566"/>
  <c r="G567"/>
  <c r="H567"/>
  <c r="I567"/>
  <c r="J567"/>
  <c r="G569"/>
  <c r="H569"/>
  <c r="I569"/>
  <c r="J569"/>
  <c r="G570"/>
  <c r="H570"/>
  <c r="I570"/>
  <c r="J570"/>
  <c r="G571"/>
  <c r="H571"/>
  <c r="I571"/>
  <c r="J571"/>
  <c r="G572"/>
  <c r="H572"/>
  <c r="I572"/>
  <c r="J572"/>
  <c r="G573"/>
  <c r="H573"/>
  <c r="I573"/>
  <c r="J573"/>
  <c r="G574"/>
  <c r="H574"/>
  <c r="I574"/>
  <c r="J574"/>
  <c r="G575"/>
  <c r="H575"/>
  <c r="I575"/>
  <c r="J575"/>
  <c r="G576"/>
  <c r="H576"/>
  <c r="I576"/>
  <c r="J576"/>
  <c r="G577"/>
  <c r="H577"/>
  <c r="I577"/>
  <c r="J577"/>
  <c r="G578"/>
  <c r="H578"/>
  <c r="I578"/>
  <c r="J578"/>
  <c r="G579"/>
  <c r="H579"/>
  <c r="J579"/>
  <c r="G580"/>
  <c r="H580"/>
  <c r="I580"/>
  <c r="G581"/>
  <c r="H581"/>
  <c r="I581"/>
  <c r="J581"/>
  <c r="G582"/>
  <c r="H582"/>
  <c r="I582"/>
  <c r="J582"/>
  <c r="G583"/>
  <c r="H583"/>
  <c r="I583"/>
  <c r="J583"/>
  <c r="G584"/>
  <c r="H584"/>
  <c r="I584"/>
  <c r="J584"/>
  <c r="G585"/>
  <c r="H585"/>
  <c r="I585"/>
  <c r="J585"/>
  <c r="G586"/>
  <c r="H586"/>
  <c r="I586"/>
  <c r="J586"/>
  <c r="G587"/>
  <c r="H587"/>
  <c r="I587"/>
  <c r="J587"/>
  <c r="G589"/>
  <c r="H589"/>
  <c r="I589"/>
  <c r="J589"/>
  <c r="G590"/>
  <c r="H590"/>
  <c r="I590"/>
  <c r="J590"/>
  <c r="G591"/>
  <c r="H591"/>
  <c r="I591"/>
  <c r="J591"/>
  <c r="G592"/>
  <c r="H592"/>
  <c r="I592"/>
  <c r="J592"/>
  <c r="G593"/>
  <c r="H593"/>
  <c r="I593"/>
  <c r="J593"/>
  <c r="G594"/>
  <c r="H594"/>
  <c r="J594"/>
  <c r="G595"/>
  <c r="H595"/>
  <c r="I595"/>
  <c r="G596"/>
  <c r="H596"/>
  <c r="I596"/>
  <c r="J596"/>
  <c r="G597"/>
  <c r="H597"/>
  <c r="I597"/>
  <c r="J597"/>
  <c r="G598"/>
  <c r="H598"/>
  <c r="I598"/>
  <c r="J598"/>
  <c r="G599"/>
  <c r="H599"/>
  <c r="I599"/>
  <c r="J599"/>
  <c r="G600"/>
  <c r="H600"/>
  <c r="I600"/>
  <c r="J600"/>
  <c r="G601"/>
  <c r="H601"/>
  <c r="I601"/>
  <c r="J601"/>
  <c r="G602"/>
  <c r="H602"/>
  <c r="I602"/>
  <c r="J602"/>
  <c r="G603"/>
  <c r="H603"/>
  <c r="I603"/>
  <c r="J603"/>
  <c r="G605"/>
  <c r="H605"/>
  <c r="I605"/>
  <c r="J605"/>
  <c r="G606"/>
  <c r="H606"/>
  <c r="I606"/>
  <c r="J606"/>
  <c r="G607"/>
  <c r="H607"/>
  <c r="I607"/>
  <c r="J607"/>
  <c r="G608"/>
  <c r="H608"/>
  <c r="I608"/>
  <c r="J608"/>
  <c r="G609"/>
  <c r="H609"/>
  <c r="I609"/>
  <c r="J609"/>
  <c r="G610"/>
  <c r="H610"/>
  <c r="I610"/>
  <c r="J610"/>
  <c r="G611"/>
  <c r="H611"/>
  <c r="I611"/>
  <c r="J611"/>
  <c r="G612"/>
  <c r="H612"/>
  <c r="I612"/>
  <c r="J612"/>
  <c r="G613"/>
  <c r="H613"/>
  <c r="J613"/>
  <c r="G614"/>
  <c r="H614"/>
  <c r="I614"/>
  <c r="G615"/>
  <c r="H615"/>
  <c r="I615"/>
  <c r="J615"/>
  <c r="G616"/>
  <c r="H616"/>
  <c r="I616"/>
  <c r="J616"/>
  <c r="G617"/>
  <c r="H617"/>
  <c r="I617"/>
  <c r="J617"/>
  <c r="G618"/>
  <c r="H618"/>
  <c r="I618"/>
  <c r="J618"/>
  <c r="G619"/>
  <c r="H619"/>
  <c r="I619"/>
  <c r="J619"/>
  <c r="G620"/>
  <c r="H620"/>
  <c r="I620"/>
  <c r="J620"/>
  <c r="G621"/>
  <c r="H621"/>
  <c r="I621"/>
  <c r="J621"/>
  <c r="G622"/>
  <c r="H622"/>
  <c r="I622"/>
  <c r="J622"/>
  <c r="G623"/>
  <c r="H623"/>
  <c r="I623"/>
  <c r="J623"/>
  <c r="G624"/>
  <c r="H624"/>
  <c r="I624"/>
  <c r="J624"/>
  <c r="G626"/>
  <c r="H626"/>
  <c r="I626"/>
  <c r="J626"/>
  <c r="G627"/>
  <c r="H627"/>
  <c r="I627"/>
  <c r="J627"/>
  <c r="G628"/>
  <c r="H628"/>
  <c r="I628"/>
  <c r="J628"/>
  <c r="G629"/>
  <c r="H629"/>
  <c r="I629"/>
  <c r="J629"/>
  <c r="G630"/>
  <c r="H630"/>
  <c r="I630"/>
  <c r="J630"/>
  <c r="G631"/>
  <c r="I631"/>
  <c r="J631"/>
  <c r="G632"/>
  <c r="H632"/>
  <c r="I632"/>
  <c r="J632"/>
  <c r="G633"/>
  <c r="H633"/>
  <c r="I633"/>
  <c r="J633"/>
  <c r="G634"/>
  <c r="H634"/>
  <c r="I634"/>
  <c r="J634"/>
  <c r="G635"/>
  <c r="H635"/>
  <c r="I635"/>
  <c r="J635"/>
  <c r="G636"/>
  <c r="H636"/>
  <c r="J636"/>
  <c r="G637"/>
  <c r="H637"/>
  <c r="I637"/>
  <c r="G638"/>
  <c r="H638"/>
  <c r="I638"/>
  <c r="J638"/>
  <c r="G639"/>
  <c r="H639"/>
  <c r="I639"/>
  <c r="J639"/>
  <c r="G640"/>
  <c r="H640"/>
  <c r="I640"/>
  <c r="J640"/>
  <c r="G641"/>
  <c r="H641"/>
  <c r="I641"/>
  <c r="J641"/>
  <c r="G642"/>
  <c r="H642"/>
  <c r="I642"/>
  <c r="J642"/>
  <c r="G643"/>
  <c r="H643"/>
  <c r="I643"/>
  <c r="J643"/>
  <c r="G644"/>
  <c r="H644"/>
  <c r="I644"/>
  <c r="J644"/>
  <c r="G646"/>
  <c r="H646"/>
  <c r="I646"/>
  <c r="J646"/>
  <c r="G647"/>
  <c r="H647"/>
  <c r="I647"/>
  <c r="J647"/>
  <c r="G648"/>
  <c r="H648"/>
  <c r="I648"/>
  <c r="J648"/>
  <c r="G649"/>
  <c r="H649"/>
  <c r="I649"/>
  <c r="J649"/>
  <c r="G650"/>
  <c r="H650"/>
  <c r="I650"/>
  <c r="J650"/>
  <c r="G651"/>
  <c r="H651"/>
  <c r="I651"/>
  <c r="J651"/>
  <c r="G652"/>
  <c r="H652"/>
  <c r="I652"/>
  <c r="J652"/>
  <c r="G653"/>
  <c r="H653"/>
  <c r="I653"/>
  <c r="J653"/>
  <c r="G654"/>
  <c r="H654"/>
  <c r="I654"/>
  <c r="J654"/>
  <c r="G655"/>
  <c r="H655"/>
  <c r="I655"/>
  <c r="J655"/>
  <c r="G656"/>
  <c r="H656"/>
  <c r="I656"/>
  <c r="J656"/>
  <c r="G657"/>
  <c r="H657"/>
  <c r="I657"/>
  <c r="J657"/>
  <c r="G658"/>
  <c r="H658"/>
  <c r="I658"/>
  <c r="J658"/>
  <c r="G659"/>
  <c r="H659"/>
  <c r="I659"/>
  <c r="J659"/>
  <c r="G664"/>
  <c r="H664"/>
  <c r="I664"/>
  <c r="J664"/>
  <c r="G665"/>
  <c r="H665"/>
  <c r="I665"/>
  <c r="J665"/>
  <c r="G666"/>
  <c r="H666"/>
  <c r="I666"/>
  <c r="J666"/>
  <c r="G667"/>
  <c r="H667"/>
  <c r="I667"/>
  <c r="J667"/>
  <c r="G672"/>
  <c r="H672"/>
  <c r="I672"/>
  <c r="J672"/>
  <c r="G673"/>
  <c r="H673"/>
  <c r="I673"/>
  <c r="J673"/>
  <c r="G674"/>
  <c r="H674"/>
  <c r="I674"/>
  <c r="J674"/>
  <c r="G675"/>
  <c r="H675"/>
  <c r="I675"/>
  <c r="J675"/>
  <c r="G676"/>
  <c r="H676"/>
  <c r="J676"/>
  <c r="G677"/>
  <c r="H677"/>
  <c r="I677"/>
  <c r="G678"/>
  <c r="H678"/>
  <c r="I678"/>
  <c r="J678"/>
  <c r="G679"/>
  <c r="H679"/>
  <c r="I679"/>
  <c r="J679"/>
  <c r="G680"/>
  <c r="H680"/>
  <c r="I680"/>
  <c r="J680"/>
  <c r="G681"/>
  <c r="H681"/>
  <c r="I681"/>
  <c r="J681"/>
  <c r="G682"/>
  <c r="H682"/>
  <c r="I682"/>
  <c r="J682"/>
  <c r="G683"/>
  <c r="H683"/>
  <c r="I683"/>
  <c r="J683"/>
  <c r="G684"/>
  <c r="H684"/>
  <c r="I684"/>
  <c r="J684"/>
  <c r="G685"/>
  <c r="H685"/>
  <c r="I685"/>
  <c r="J685"/>
  <c r="G687"/>
  <c r="H687"/>
  <c r="I687"/>
  <c r="J687"/>
  <c r="G688"/>
  <c r="H688"/>
  <c r="I688"/>
  <c r="J688"/>
  <c r="G689"/>
  <c r="H689"/>
  <c r="I689"/>
  <c r="J689"/>
  <c r="G690"/>
  <c r="H690"/>
  <c r="I690"/>
  <c r="J690"/>
  <c r="G691"/>
  <c r="H691"/>
  <c r="I691"/>
  <c r="J691"/>
  <c r="G692"/>
  <c r="H692"/>
  <c r="J692"/>
  <c r="G693"/>
  <c r="H693"/>
  <c r="I693"/>
  <c r="J693"/>
  <c r="G694"/>
  <c r="H694"/>
  <c r="I694"/>
  <c r="J694"/>
  <c r="G695"/>
  <c r="H695"/>
  <c r="I695"/>
  <c r="J695"/>
  <c r="G696"/>
  <c r="H696"/>
  <c r="I696"/>
  <c r="J696"/>
  <c r="G697"/>
  <c r="H697"/>
  <c r="I697"/>
  <c r="J697"/>
  <c r="G699"/>
  <c r="H699"/>
  <c r="I699"/>
  <c r="J699"/>
  <c r="G700"/>
  <c r="H700"/>
  <c r="I700"/>
  <c r="J700"/>
  <c r="G701"/>
  <c r="H701"/>
  <c r="I701"/>
  <c r="J701"/>
  <c r="G702"/>
  <c r="H702"/>
  <c r="I702"/>
  <c r="J702"/>
  <c r="G703"/>
  <c r="H703"/>
  <c r="J703"/>
  <c r="G704"/>
  <c r="H704"/>
  <c r="I704"/>
  <c r="G705"/>
  <c r="H705"/>
  <c r="I705"/>
  <c r="J705"/>
  <c r="G706"/>
  <c r="H706"/>
  <c r="I706"/>
  <c r="J706"/>
  <c r="G707"/>
  <c r="H707"/>
  <c r="I707"/>
  <c r="J707"/>
  <c r="G708"/>
  <c r="H708"/>
  <c r="I708"/>
  <c r="J708"/>
  <c r="G709"/>
  <c r="H709"/>
  <c r="I709"/>
  <c r="J709"/>
  <c r="G710"/>
  <c r="H710"/>
  <c r="I710"/>
  <c r="J710"/>
  <c r="G711"/>
  <c r="H711"/>
  <c r="I711"/>
  <c r="J711"/>
  <c r="G715"/>
  <c r="H715"/>
  <c r="I715"/>
  <c r="J715"/>
  <c r="G716"/>
  <c r="H716"/>
  <c r="I716"/>
  <c r="J716"/>
  <c r="G717"/>
  <c r="H717"/>
  <c r="I717"/>
  <c r="J717"/>
  <c r="G718"/>
  <c r="H718"/>
  <c r="I718"/>
  <c r="J718"/>
  <c r="G722"/>
  <c r="H722"/>
  <c r="I722"/>
  <c r="J722"/>
  <c r="G723"/>
  <c r="H723"/>
  <c r="I723"/>
  <c r="J723"/>
  <c r="G724"/>
  <c r="H724"/>
  <c r="I724"/>
  <c r="J724"/>
  <c r="G725"/>
  <c r="H725"/>
  <c r="I725"/>
  <c r="J725"/>
  <c r="G726"/>
  <c r="H726"/>
  <c r="I726"/>
  <c r="J726"/>
  <c r="G727"/>
  <c r="H727"/>
  <c r="I727"/>
  <c r="J727"/>
  <c r="G728"/>
  <c r="H728"/>
  <c r="I728"/>
  <c r="J728"/>
  <c r="G729"/>
  <c r="H729"/>
  <c r="I729"/>
  <c r="J729"/>
  <c r="G730"/>
  <c r="H730"/>
  <c r="J730"/>
  <c r="G731"/>
  <c r="H731"/>
  <c r="I731"/>
  <c r="G732"/>
  <c r="H732"/>
  <c r="I732"/>
  <c r="J732"/>
  <c r="G733"/>
  <c r="H733"/>
  <c r="I733"/>
  <c r="J733"/>
  <c r="G734"/>
  <c r="H734"/>
  <c r="I734"/>
  <c r="J734"/>
  <c r="G735"/>
  <c r="H735"/>
  <c r="I735"/>
  <c r="J735"/>
  <c r="G736"/>
  <c r="H736"/>
  <c r="I736"/>
  <c r="J736"/>
  <c r="G737"/>
  <c r="H737"/>
  <c r="I737"/>
  <c r="J737"/>
  <c r="G738"/>
  <c r="H738"/>
  <c r="I738"/>
  <c r="J738"/>
  <c r="G739"/>
  <c r="H739"/>
  <c r="I739"/>
  <c r="J739"/>
  <c r="H741"/>
  <c r="I741"/>
  <c r="J741"/>
  <c r="G742"/>
  <c r="H742"/>
  <c r="I742"/>
  <c r="J742"/>
  <c r="G743"/>
  <c r="H743"/>
  <c r="I743"/>
  <c r="J743"/>
  <c r="G744"/>
  <c r="H744"/>
  <c r="I744"/>
  <c r="J744"/>
  <c r="G745"/>
  <c r="H745"/>
  <c r="I745"/>
  <c r="J745"/>
  <c r="G746"/>
  <c r="H746"/>
  <c r="J746"/>
  <c r="G747"/>
  <c r="H747"/>
  <c r="I747"/>
  <c r="G748"/>
  <c r="H748"/>
  <c r="I748"/>
  <c r="J748"/>
  <c r="G749"/>
  <c r="H749"/>
  <c r="I749"/>
  <c r="J749"/>
  <c r="G750"/>
  <c r="H750"/>
  <c r="I750"/>
  <c r="J750"/>
  <c r="G751"/>
  <c r="H751"/>
  <c r="I751"/>
  <c r="J751"/>
  <c r="G752"/>
  <c r="H752"/>
  <c r="I752"/>
  <c r="J752"/>
  <c r="G753"/>
  <c r="H753"/>
  <c r="I753"/>
  <c r="J753"/>
  <c r="G754"/>
  <c r="H754"/>
  <c r="I754"/>
  <c r="J754"/>
  <c r="G755"/>
  <c r="H755"/>
  <c r="I755"/>
  <c r="J755"/>
  <c r="G756"/>
  <c r="H756"/>
  <c r="I756"/>
  <c r="J756"/>
  <c r="G758"/>
  <c r="H758"/>
  <c r="I758"/>
  <c r="J758"/>
  <c r="G759"/>
  <c r="H759"/>
  <c r="I759"/>
  <c r="J759"/>
  <c r="G760"/>
  <c r="H760"/>
  <c r="I760"/>
  <c r="J760"/>
  <c r="G761"/>
  <c r="H761"/>
  <c r="I761"/>
  <c r="J761"/>
  <c r="G762"/>
  <c r="H762"/>
  <c r="I762"/>
  <c r="J762"/>
  <c r="G763"/>
  <c r="H763"/>
  <c r="I763"/>
  <c r="J763"/>
  <c r="G764"/>
  <c r="H764"/>
  <c r="I764"/>
  <c r="J764"/>
  <c r="G765"/>
  <c r="H765"/>
  <c r="I765"/>
  <c r="J765"/>
  <c r="G766"/>
  <c r="H766"/>
  <c r="I766"/>
  <c r="J766"/>
  <c r="G767"/>
  <c r="H767"/>
  <c r="I767"/>
  <c r="J767"/>
  <c r="G768"/>
  <c r="H768"/>
  <c r="I768"/>
  <c r="J768"/>
  <c r="G769"/>
  <c r="H769"/>
  <c r="I769"/>
  <c r="J769"/>
  <c r="G770"/>
  <c r="H770"/>
  <c r="I770"/>
  <c r="J770"/>
  <c r="G771"/>
  <c r="H771"/>
  <c r="J771"/>
  <c r="G772"/>
  <c r="H772"/>
  <c r="I772"/>
  <c r="G773"/>
  <c r="H773"/>
  <c r="I773"/>
  <c r="J773"/>
  <c r="G774"/>
  <c r="H774"/>
  <c r="I774"/>
  <c r="J774"/>
  <c r="G775"/>
  <c r="H775"/>
  <c r="I775"/>
  <c r="J775"/>
  <c r="G777"/>
  <c r="H777"/>
  <c r="I777"/>
  <c r="J777"/>
  <c r="G778"/>
  <c r="H778"/>
  <c r="I778"/>
  <c r="J778"/>
  <c r="G779"/>
  <c r="H779"/>
  <c r="I779"/>
  <c r="J779"/>
  <c r="G780"/>
  <c r="H780"/>
  <c r="I780"/>
  <c r="J780"/>
  <c r="G781"/>
  <c r="H781"/>
  <c r="I781"/>
  <c r="J781"/>
  <c r="G782"/>
  <c r="H782"/>
  <c r="I782"/>
  <c r="J782"/>
  <c r="G783"/>
  <c r="H783"/>
  <c r="I783"/>
  <c r="J783"/>
  <c r="G784"/>
  <c r="H784"/>
  <c r="I784"/>
  <c r="J784"/>
  <c r="G785"/>
  <c r="H785"/>
  <c r="J785"/>
  <c r="G786"/>
  <c r="H786"/>
  <c r="I786"/>
  <c r="G787"/>
  <c r="H787"/>
  <c r="I787"/>
  <c r="J787"/>
  <c r="G788"/>
  <c r="H788"/>
  <c r="I788"/>
  <c r="J788"/>
  <c r="G789"/>
  <c r="H789"/>
  <c r="I789"/>
  <c r="J789"/>
  <c r="G790"/>
  <c r="H790"/>
  <c r="I790"/>
  <c r="J790"/>
  <c r="G791"/>
  <c r="H791"/>
  <c r="I791"/>
  <c r="J791"/>
  <c r="G792"/>
  <c r="H792"/>
  <c r="I792"/>
  <c r="J792"/>
  <c r="G793"/>
  <c r="H793"/>
  <c r="I793"/>
  <c r="J793"/>
  <c r="G794"/>
  <c r="H794"/>
  <c r="I794"/>
  <c r="J794"/>
  <c r="G796"/>
  <c r="H796"/>
  <c r="I796"/>
  <c r="J796"/>
  <c r="G797"/>
  <c r="H797"/>
  <c r="I797"/>
  <c r="J797"/>
  <c r="G798"/>
  <c r="H798"/>
  <c r="I798"/>
  <c r="J798"/>
  <c r="G799"/>
  <c r="H799"/>
  <c r="I799"/>
  <c r="J799"/>
  <c r="G800"/>
  <c r="H800"/>
  <c r="I800"/>
  <c r="J800"/>
  <c r="G801"/>
  <c r="H801"/>
  <c r="I801"/>
  <c r="J801"/>
  <c r="G802"/>
  <c r="H802"/>
  <c r="I802"/>
  <c r="J802"/>
  <c r="G803"/>
  <c r="H803"/>
  <c r="I803"/>
  <c r="J803"/>
  <c r="G804"/>
  <c r="H804"/>
  <c r="I804"/>
  <c r="J804"/>
  <c r="G805"/>
  <c r="H805"/>
  <c r="I805"/>
  <c r="J805"/>
  <c r="G806"/>
  <c r="H806"/>
  <c r="I806"/>
  <c r="J806"/>
  <c r="G807"/>
  <c r="H807"/>
  <c r="I807"/>
  <c r="J807"/>
  <c r="G808"/>
  <c r="H808"/>
  <c r="I808"/>
  <c r="J808"/>
  <c r="G809"/>
  <c r="H809"/>
  <c r="I809"/>
  <c r="J809"/>
  <c r="G810"/>
  <c r="H810"/>
  <c r="I810"/>
  <c r="J810"/>
  <c r="G811"/>
  <c r="H811"/>
  <c r="I811"/>
  <c r="J811"/>
  <c r="G812"/>
  <c r="H812"/>
  <c r="I812"/>
  <c r="J812"/>
  <c r="G814"/>
  <c r="H814"/>
  <c r="I814"/>
  <c r="J814"/>
  <c r="G815"/>
  <c r="H815"/>
  <c r="I815"/>
  <c r="J815"/>
  <c r="G816"/>
  <c r="H816"/>
  <c r="I816"/>
  <c r="J816"/>
  <c r="G817"/>
  <c r="H817"/>
  <c r="I817"/>
  <c r="J817"/>
  <c r="G818"/>
  <c r="H818"/>
  <c r="I818"/>
  <c r="J818"/>
  <c r="G819"/>
  <c r="H819"/>
  <c r="I819"/>
  <c r="J819"/>
  <c r="G820"/>
  <c r="H820"/>
  <c r="I820"/>
  <c r="J820"/>
  <c r="G821"/>
  <c r="H821"/>
  <c r="I821"/>
  <c r="J821"/>
  <c r="G822"/>
  <c r="H822"/>
  <c r="J822"/>
  <c r="G823"/>
  <c r="H823"/>
  <c r="I823"/>
  <c r="G824"/>
  <c r="H824"/>
  <c r="I824"/>
  <c r="J824"/>
  <c r="G825"/>
  <c r="H825"/>
  <c r="I825"/>
  <c r="J825"/>
  <c r="G826"/>
  <c r="H826"/>
  <c r="I826"/>
  <c r="J826"/>
  <c r="G827"/>
  <c r="H827"/>
  <c r="I827"/>
  <c r="J827"/>
  <c r="G828"/>
  <c r="H828"/>
  <c r="I828"/>
  <c r="J828"/>
  <c r="G829"/>
  <c r="H829"/>
  <c r="I829"/>
  <c r="J829"/>
  <c r="G830"/>
  <c r="H830"/>
  <c r="I830"/>
  <c r="J830"/>
  <c r="G831"/>
  <c r="H831"/>
  <c r="I831"/>
  <c r="J831"/>
  <c r="G833"/>
  <c r="H833"/>
  <c r="I833"/>
  <c r="J833"/>
  <c r="G834"/>
  <c r="H834"/>
  <c r="I834"/>
  <c r="J834"/>
  <c r="G835"/>
  <c r="H835"/>
  <c r="I835"/>
  <c r="J835"/>
  <c r="G836"/>
  <c r="H836"/>
  <c r="I836"/>
  <c r="J836"/>
  <c r="G837"/>
  <c r="H837"/>
  <c r="I837"/>
  <c r="J837"/>
  <c r="G838"/>
  <c r="H838"/>
  <c r="I838"/>
  <c r="J838"/>
  <c r="G839"/>
  <c r="H839"/>
  <c r="I839"/>
  <c r="J839"/>
  <c r="G840"/>
  <c r="H840"/>
  <c r="I840"/>
  <c r="J840"/>
  <c r="G841"/>
  <c r="H841"/>
  <c r="I841"/>
  <c r="J841"/>
  <c r="G842"/>
  <c r="H842"/>
  <c r="I842"/>
  <c r="J842"/>
  <c r="G843"/>
  <c r="H843"/>
  <c r="I843"/>
  <c r="J843"/>
  <c r="H845"/>
  <c r="I845"/>
  <c r="J845"/>
  <c r="G846"/>
  <c r="H846"/>
  <c r="I846"/>
  <c r="J846"/>
  <c r="G847"/>
  <c r="H847"/>
  <c r="I847"/>
  <c r="J847"/>
  <c r="G848"/>
  <c r="H848"/>
  <c r="I848"/>
  <c r="J848"/>
  <c r="G849"/>
  <c r="I849"/>
  <c r="J849"/>
  <c r="G850"/>
  <c r="H850"/>
  <c r="I850"/>
  <c r="J850"/>
  <c r="G851"/>
  <c r="H851"/>
  <c r="I851"/>
  <c r="J851"/>
  <c r="G852"/>
  <c r="H852"/>
  <c r="I852"/>
  <c r="J852"/>
  <c r="G853"/>
  <c r="H853"/>
  <c r="J853"/>
  <c r="G854"/>
  <c r="H854"/>
  <c r="I854"/>
  <c r="G855"/>
  <c r="H855"/>
  <c r="I855"/>
  <c r="J855"/>
  <c r="G856"/>
  <c r="H856"/>
  <c r="I856"/>
  <c r="J856"/>
  <c r="G857"/>
  <c r="H857"/>
  <c r="I857"/>
  <c r="J857"/>
  <c r="G858"/>
  <c r="H858"/>
  <c r="I858"/>
  <c r="J858"/>
  <c r="G859"/>
  <c r="H859"/>
  <c r="I859"/>
  <c r="J859"/>
  <c r="G860"/>
  <c r="H860"/>
  <c r="I860"/>
  <c r="J860"/>
  <c r="G861"/>
  <c r="H861"/>
  <c r="I861"/>
  <c r="J861"/>
  <c r="G862"/>
  <c r="H862"/>
  <c r="I862"/>
  <c r="J862"/>
  <c r="G863"/>
  <c r="H863"/>
  <c r="I863"/>
  <c r="J863"/>
  <c r="G866"/>
  <c r="H866"/>
  <c r="I866"/>
  <c r="J866"/>
  <c r="G867"/>
  <c r="H867"/>
  <c r="I867"/>
  <c r="J867"/>
  <c r="G868"/>
  <c r="H868"/>
  <c r="I868"/>
  <c r="J868"/>
  <c r="G869"/>
  <c r="H869"/>
  <c r="I869"/>
  <c r="J869"/>
  <c r="G870"/>
  <c r="H870"/>
  <c r="I870"/>
  <c r="J870"/>
  <c r="G871"/>
  <c r="H871"/>
  <c r="I871"/>
  <c r="J871"/>
  <c r="G872"/>
  <c r="H872"/>
  <c r="I872"/>
  <c r="J872"/>
  <c r="G873"/>
  <c r="H873"/>
  <c r="I873"/>
  <c r="J873"/>
  <c r="G874"/>
  <c r="H874"/>
  <c r="J874"/>
  <c r="G875"/>
  <c r="H875"/>
  <c r="I875"/>
  <c r="G876"/>
  <c r="H876"/>
  <c r="I876"/>
  <c r="J876"/>
  <c r="G877"/>
  <c r="H877"/>
  <c r="I877"/>
  <c r="J877"/>
  <c r="G878"/>
  <c r="H878"/>
  <c r="I878"/>
  <c r="J878"/>
  <c r="G879"/>
  <c r="H879"/>
  <c r="I879"/>
  <c r="J879"/>
  <c r="G880"/>
  <c r="H880"/>
  <c r="I880"/>
  <c r="J880"/>
  <c r="G881"/>
  <c r="H881"/>
  <c r="I881"/>
  <c r="J881"/>
  <c r="G882"/>
  <c r="H882"/>
  <c r="I882"/>
  <c r="J882"/>
  <c r="G883"/>
  <c r="H883"/>
  <c r="I883"/>
  <c r="J883"/>
  <c r="G885"/>
  <c r="H885"/>
  <c r="I885"/>
  <c r="J885"/>
  <c r="G886"/>
  <c r="H886"/>
  <c r="I886"/>
  <c r="J886"/>
  <c r="G887"/>
  <c r="H887"/>
  <c r="I887"/>
  <c r="J887"/>
  <c r="G888"/>
  <c r="H888"/>
  <c r="I888"/>
  <c r="J888"/>
  <c r="G889"/>
  <c r="H889"/>
  <c r="I889"/>
  <c r="J889"/>
  <c r="G890"/>
  <c r="H890"/>
  <c r="I890"/>
  <c r="J890"/>
  <c r="G891"/>
  <c r="H891"/>
  <c r="I891"/>
  <c r="J891"/>
  <c r="G892"/>
  <c r="H892"/>
  <c r="J892"/>
  <c r="G893"/>
  <c r="H893"/>
  <c r="I893"/>
  <c r="G894"/>
  <c r="H894"/>
  <c r="I894"/>
  <c r="J894"/>
  <c r="G895"/>
  <c r="H895"/>
  <c r="I895"/>
  <c r="J895"/>
  <c r="G896"/>
  <c r="H896"/>
  <c r="I896"/>
  <c r="J896"/>
  <c r="G897"/>
  <c r="H897"/>
  <c r="I897"/>
  <c r="J897"/>
  <c r="G898"/>
  <c r="H898"/>
  <c r="I898"/>
  <c r="J898"/>
  <c r="G899"/>
  <c r="H899"/>
  <c r="I899"/>
  <c r="J899"/>
  <c r="G900"/>
  <c r="H900"/>
  <c r="I900"/>
  <c r="J900"/>
  <c r="G902"/>
  <c r="H902"/>
  <c r="I902"/>
  <c r="J902"/>
  <c r="G903"/>
  <c r="H903"/>
  <c r="I903"/>
  <c r="J903"/>
  <c r="G904"/>
  <c r="H904"/>
  <c r="I904"/>
  <c r="J904"/>
  <c r="G905"/>
  <c r="H905"/>
  <c r="I905"/>
  <c r="J905"/>
  <c r="G906"/>
  <c r="H906"/>
  <c r="I906"/>
  <c r="J906"/>
  <c r="G907"/>
  <c r="H907"/>
  <c r="I907"/>
  <c r="J907"/>
  <c r="G908"/>
  <c r="H908"/>
  <c r="I908"/>
  <c r="J908"/>
  <c r="G909"/>
  <c r="H909"/>
  <c r="I909"/>
  <c r="J909"/>
  <c r="G910"/>
  <c r="H910"/>
  <c r="J910"/>
  <c r="G911"/>
  <c r="H911"/>
  <c r="I911"/>
  <c r="G912"/>
  <c r="H912"/>
  <c r="I912"/>
  <c r="J912"/>
  <c r="G913"/>
  <c r="H913"/>
  <c r="I913"/>
  <c r="J913"/>
  <c r="G914"/>
  <c r="H914"/>
  <c r="I914"/>
  <c r="J914"/>
  <c r="G915"/>
  <c r="H915"/>
  <c r="I915"/>
  <c r="J915"/>
  <c r="G916"/>
  <c r="H916"/>
  <c r="I916"/>
  <c r="J916"/>
  <c r="G917"/>
  <c r="H917"/>
  <c r="I917"/>
  <c r="J917"/>
  <c r="G918"/>
  <c r="H918"/>
  <c r="I918"/>
  <c r="J918"/>
  <c r="G925"/>
  <c r="H925"/>
  <c r="I925"/>
  <c r="J925"/>
  <c r="G926"/>
  <c r="H926"/>
  <c r="I926"/>
  <c r="J926"/>
  <c r="G927"/>
  <c r="H927"/>
  <c r="I927"/>
  <c r="J927"/>
  <c r="G928"/>
  <c r="H928"/>
  <c r="I928"/>
  <c r="G929"/>
  <c r="H929"/>
  <c r="I929"/>
  <c r="J929"/>
  <c r="G930"/>
  <c r="H930"/>
  <c r="I930"/>
  <c r="J930"/>
  <c r="G931"/>
  <c r="H931"/>
  <c r="I931"/>
  <c r="J931"/>
  <c r="G932"/>
  <c r="H932"/>
  <c r="I932"/>
  <c r="J932"/>
  <c r="G933"/>
  <c r="H933"/>
  <c r="I933"/>
  <c r="J933"/>
  <c r="G934"/>
  <c r="H934"/>
  <c r="I934"/>
  <c r="J934"/>
  <c r="G935"/>
  <c r="H935"/>
  <c r="I935"/>
  <c r="J935"/>
  <c r="G936"/>
  <c r="H936"/>
  <c r="I936"/>
  <c r="J936"/>
  <c r="G937"/>
  <c r="H937"/>
  <c r="I937"/>
  <c r="J937"/>
  <c r="G938"/>
  <c r="H938"/>
  <c r="I938"/>
  <c r="J938"/>
  <c r="G940"/>
  <c r="H940"/>
  <c r="I940"/>
  <c r="J940"/>
  <c r="G941"/>
  <c r="H941"/>
  <c r="I941"/>
  <c r="J941"/>
  <c r="G942"/>
  <c r="H942"/>
  <c r="I942"/>
  <c r="J942"/>
  <c r="G943"/>
  <c r="H943"/>
  <c r="I943"/>
  <c r="J943"/>
  <c r="G944"/>
  <c r="H944"/>
  <c r="I944"/>
  <c r="J944"/>
  <c r="G945"/>
  <c r="H945"/>
  <c r="I945"/>
  <c r="J945"/>
  <c r="G946"/>
  <c r="H946"/>
  <c r="I946"/>
  <c r="J946"/>
  <c r="G947"/>
  <c r="H947"/>
  <c r="I947"/>
  <c r="J947"/>
  <c r="G948"/>
  <c r="H948"/>
  <c r="I948"/>
  <c r="J948"/>
  <c r="G950"/>
  <c r="H950"/>
  <c r="I950"/>
  <c r="J950"/>
  <c r="G951"/>
  <c r="H951"/>
  <c r="I951"/>
  <c r="J951"/>
  <c r="G952"/>
  <c r="H952"/>
  <c r="I952"/>
  <c r="J952"/>
  <c r="G953"/>
  <c r="H953"/>
  <c r="I953"/>
  <c r="J953"/>
  <c r="G954"/>
  <c r="H954"/>
  <c r="I954"/>
  <c r="J954"/>
  <c r="G955"/>
  <c r="H955"/>
  <c r="I955"/>
  <c r="J955"/>
  <c r="G956"/>
  <c r="H956"/>
  <c r="I956"/>
  <c r="J956"/>
  <c r="G960"/>
  <c r="H960"/>
  <c r="I960"/>
  <c r="J960"/>
  <c r="G961"/>
  <c r="H961"/>
  <c r="I961"/>
  <c r="J961"/>
  <c r="G962"/>
  <c r="H962"/>
  <c r="I962"/>
  <c r="J962"/>
  <c r="G963"/>
  <c r="H963"/>
  <c r="I963"/>
  <c r="J963"/>
  <c r="G964"/>
  <c r="H964"/>
  <c r="I964"/>
  <c r="J964"/>
  <c r="G965"/>
  <c r="H965"/>
  <c r="I965"/>
  <c r="J965"/>
  <c r="G966"/>
  <c r="H966"/>
  <c r="I966"/>
  <c r="J966"/>
  <c r="G967"/>
  <c r="H967"/>
  <c r="I967"/>
  <c r="J967"/>
  <c r="G968"/>
  <c r="H968"/>
  <c r="I968"/>
  <c r="J968"/>
  <c r="G969"/>
  <c r="H969"/>
  <c r="I969"/>
  <c r="J969"/>
  <c r="G970"/>
  <c r="H970"/>
  <c r="I970"/>
  <c r="J970"/>
  <c r="G971"/>
  <c r="H971"/>
  <c r="I971"/>
  <c r="J971"/>
  <c r="G972"/>
  <c r="H972"/>
  <c r="I972"/>
  <c r="J972"/>
  <c r="G973"/>
  <c r="H973"/>
  <c r="J973"/>
  <c r="G974"/>
  <c r="H974"/>
  <c r="I974"/>
  <c r="G975"/>
  <c r="H975"/>
  <c r="I975"/>
  <c r="J975"/>
  <c r="G976"/>
  <c r="H976"/>
  <c r="I976"/>
  <c r="J976"/>
  <c r="G977"/>
  <c r="H977"/>
  <c r="I977"/>
  <c r="J977"/>
  <c r="G979"/>
  <c r="H979"/>
  <c r="I979"/>
  <c r="J979"/>
  <c r="G980"/>
  <c r="H980"/>
  <c r="I980"/>
  <c r="J980"/>
  <c r="G981"/>
  <c r="H981"/>
  <c r="I981"/>
  <c r="J981"/>
  <c r="G982"/>
  <c r="H982"/>
  <c r="I982"/>
  <c r="J982"/>
  <c r="G983"/>
  <c r="H983"/>
  <c r="I983"/>
  <c r="J983"/>
  <c r="G984"/>
  <c r="H984"/>
  <c r="I984"/>
  <c r="J984"/>
  <c r="G985"/>
  <c r="H985"/>
  <c r="I985"/>
  <c r="J985"/>
  <c r="G986"/>
  <c r="H986"/>
  <c r="I986"/>
  <c r="J986"/>
  <c r="G987"/>
  <c r="H987"/>
  <c r="J987"/>
  <c r="G988"/>
  <c r="H988"/>
  <c r="I988"/>
  <c r="G989"/>
  <c r="H989"/>
  <c r="I989"/>
  <c r="J989"/>
  <c r="G990"/>
  <c r="H990"/>
  <c r="I990"/>
  <c r="J990"/>
  <c r="G991"/>
  <c r="H991"/>
  <c r="I991"/>
  <c r="J991"/>
  <c r="G992"/>
  <c r="H992"/>
  <c r="I992"/>
  <c r="J992"/>
  <c r="G993"/>
  <c r="H993"/>
  <c r="I993"/>
  <c r="J993"/>
  <c r="G994"/>
  <c r="H994"/>
  <c r="I994"/>
  <c r="J994"/>
  <c r="G995"/>
  <c r="H995"/>
  <c r="I995"/>
  <c r="J995"/>
  <c r="G996"/>
  <c r="H996"/>
  <c r="I996"/>
  <c r="J996"/>
  <c r="G998"/>
  <c r="H998"/>
  <c r="I998"/>
  <c r="J998"/>
  <c r="G999"/>
  <c r="H999"/>
  <c r="I999"/>
  <c r="J999"/>
  <c r="G1000"/>
  <c r="H1000"/>
  <c r="I1000"/>
  <c r="J1000"/>
  <c r="G1001"/>
  <c r="H1001"/>
  <c r="I1001"/>
  <c r="J1001"/>
  <c r="G1002"/>
  <c r="H1002"/>
  <c r="I1002"/>
  <c r="J1002"/>
  <c r="G1003"/>
  <c r="H1003"/>
  <c r="I1003"/>
  <c r="J1003"/>
  <c r="G1004"/>
  <c r="H1004"/>
  <c r="I1004"/>
  <c r="J1004"/>
  <c r="G1005"/>
  <c r="H1005"/>
  <c r="I1005"/>
  <c r="J1005"/>
  <c r="G1006"/>
  <c r="H1006"/>
  <c r="I1006"/>
  <c r="J1006"/>
  <c r="G1007"/>
  <c r="H1007"/>
  <c r="I1007"/>
  <c r="J1007"/>
  <c r="G1008"/>
  <c r="H1008"/>
  <c r="I1008"/>
  <c r="J1008"/>
  <c r="G1009"/>
  <c r="H1009"/>
  <c r="I1009"/>
  <c r="J1009"/>
  <c r="G1010"/>
  <c r="H1010"/>
  <c r="I1010"/>
  <c r="J1010"/>
  <c r="G1011"/>
  <c r="H1011"/>
  <c r="I1011"/>
  <c r="J1011"/>
  <c r="G1012"/>
  <c r="H1012"/>
  <c r="I1012"/>
  <c r="J1012"/>
  <c r="G1013"/>
  <c r="H1013"/>
  <c r="I1013"/>
  <c r="J1013"/>
  <c r="G1014"/>
  <c r="H1014"/>
  <c r="I1014"/>
  <c r="J1014"/>
  <c r="G1016"/>
  <c r="H1016"/>
  <c r="I1016"/>
  <c r="J1016"/>
  <c r="G1017"/>
  <c r="H1017"/>
  <c r="I1017"/>
  <c r="J1017"/>
  <c r="G1018"/>
  <c r="H1018"/>
  <c r="I1018"/>
  <c r="J1018"/>
  <c r="G1019"/>
  <c r="H1019"/>
  <c r="I1019"/>
  <c r="J1019"/>
  <c r="G1020"/>
  <c r="H1020"/>
  <c r="I1020"/>
  <c r="J1020"/>
  <c r="G1021"/>
  <c r="H1021"/>
  <c r="I1021"/>
  <c r="J1021"/>
  <c r="G1022"/>
  <c r="H1022"/>
  <c r="I1022"/>
  <c r="J1022"/>
  <c r="G1023"/>
  <c r="H1023"/>
  <c r="I1023"/>
  <c r="J1023"/>
  <c r="G1024"/>
  <c r="H1024"/>
  <c r="J1024"/>
  <c r="G1025"/>
  <c r="H1025"/>
  <c r="I1025"/>
  <c r="G1026"/>
  <c r="H1026"/>
  <c r="I1026"/>
  <c r="J1026"/>
  <c r="G1027"/>
  <c r="H1027"/>
  <c r="I1027"/>
  <c r="J1027"/>
  <c r="G1028"/>
  <c r="H1028"/>
  <c r="I1028"/>
  <c r="J1028"/>
  <c r="G1029"/>
  <c r="H1029"/>
  <c r="I1029"/>
  <c r="J1029"/>
  <c r="G1030"/>
  <c r="H1030"/>
  <c r="I1030"/>
  <c r="J1030"/>
  <c r="G1031"/>
  <c r="H1031"/>
  <c r="I1031"/>
  <c r="J1031"/>
  <c r="G1032"/>
  <c r="H1032"/>
  <c r="I1032"/>
  <c r="J1032"/>
  <c r="G1033"/>
  <c r="H1033"/>
  <c r="I1033"/>
  <c r="J1033"/>
  <c r="G1035"/>
  <c r="H1035"/>
  <c r="I1035"/>
  <c r="J1035"/>
  <c r="G1036"/>
  <c r="H1036"/>
  <c r="I1036"/>
  <c r="J1036"/>
  <c r="G1037"/>
  <c r="H1037"/>
  <c r="I1037"/>
  <c r="J1037"/>
  <c r="G1038"/>
  <c r="H1038"/>
  <c r="I1038"/>
  <c r="J1038"/>
  <c r="G1039"/>
  <c r="H1039"/>
  <c r="I1039"/>
  <c r="J1039"/>
  <c r="G1040"/>
  <c r="H1040"/>
  <c r="I1040"/>
  <c r="J1040"/>
  <c r="G1041"/>
  <c r="H1041"/>
  <c r="I1041"/>
  <c r="J1041"/>
  <c r="G1042"/>
  <c r="H1042"/>
  <c r="I1042"/>
  <c r="J1042"/>
  <c r="G1043"/>
  <c r="H1043"/>
  <c r="I1043"/>
  <c r="J1043"/>
  <c r="G1044"/>
  <c r="H1044"/>
  <c r="I1044"/>
  <c r="J1044"/>
  <c r="G1045"/>
  <c r="H1045"/>
  <c r="I1045"/>
  <c r="J1045"/>
  <c r="H1047"/>
  <c r="I1047"/>
  <c r="J1047"/>
  <c r="G1048"/>
  <c r="H1048"/>
  <c r="I1048"/>
  <c r="J1048"/>
  <c r="G1049"/>
  <c r="H1049"/>
  <c r="I1049"/>
  <c r="J1049"/>
  <c r="G1050"/>
  <c r="H1050"/>
  <c r="I1050"/>
  <c r="J1050"/>
  <c r="G1051"/>
  <c r="I1051"/>
  <c r="J1051"/>
  <c r="G1052"/>
  <c r="H1052"/>
  <c r="I1052"/>
  <c r="J1052"/>
  <c r="G1053"/>
  <c r="H1053"/>
  <c r="I1053"/>
  <c r="J1053"/>
  <c r="G1054"/>
  <c r="H1054"/>
  <c r="I1054"/>
  <c r="J1054"/>
  <c r="G1055"/>
  <c r="H1055"/>
  <c r="J1055"/>
  <c r="G1056"/>
  <c r="H1056"/>
  <c r="I1056"/>
  <c r="G1057"/>
  <c r="H1057"/>
  <c r="I1057"/>
  <c r="J1057"/>
  <c r="G1058"/>
  <c r="H1058"/>
  <c r="I1058"/>
  <c r="J1058"/>
  <c r="G1059"/>
  <c r="H1059"/>
  <c r="I1059"/>
  <c r="J1059"/>
  <c r="G1060"/>
  <c r="H1060"/>
  <c r="I1060"/>
  <c r="J1060"/>
  <c r="G1061"/>
  <c r="H1061"/>
  <c r="I1061"/>
  <c r="J1061"/>
  <c r="G1062"/>
  <c r="H1062"/>
  <c r="I1062"/>
  <c r="J1062"/>
  <c r="G1063"/>
  <c r="H1063"/>
  <c r="I1063"/>
  <c r="J1063"/>
  <c r="G1064"/>
  <c r="H1064"/>
  <c r="I1064"/>
  <c r="J1064"/>
  <c r="G1065"/>
  <c r="H1065"/>
  <c r="I1065"/>
  <c r="J1065"/>
  <c r="G1068"/>
  <c r="H1068"/>
  <c r="I1068"/>
  <c r="J1068"/>
  <c r="G1069"/>
  <c r="H1069"/>
  <c r="I1069"/>
  <c r="J1069"/>
  <c r="G1070"/>
  <c r="H1070"/>
  <c r="I1070"/>
  <c r="J1070"/>
  <c r="G1071"/>
  <c r="H1071"/>
  <c r="I1071"/>
  <c r="J1071"/>
  <c r="G1072"/>
  <c r="H1072"/>
  <c r="I1072"/>
  <c r="J1072"/>
  <c r="G1073"/>
  <c r="H1073"/>
  <c r="I1073"/>
  <c r="J1073"/>
  <c r="G1074"/>
  <c r="H1074"/>
  <c r="I1074"/>
  <c r="J1074"/>
  <c r="G1075"/>
  <c r="H1075"/>
  <c r="I1075"/>
  <c r="J1075"/>
  <c r="G1076"/>
  <c r="H1076"/>
  <c r="J1076"/>
  <c r="G1077"/>
  <c r="H1077"/>
  <c r="I1077"/>
  <c r="G1078"/>
  <c r="H1078"/>
  <c r="I1078"/>
  <c r="J1078"/>
  <c r="G1079"/>
  <c r="H1079"/>
  <c r="I1079"/>
  <c r="J1079"/>
  <c r="G1080"/>
  <c r="H1080"/>
  <c r="I1080"/>
  <c r="J1080"/>
  <c r="G1081"/>
  <c r="H1081"/>
  <c r="I1081"/>
  <c r="J1081"/>
  <c r="G1082"/>
  <c r="H1082"/>
  <c r="I1082"/>
  <c r="J1082"/>
  <c r="G1083"/>
  <c r="H1083"/>
  <c r="I1083"/>
  <c r="J1083"/>
  <c r="G1084"/>
  <c r="H1084"/>
  <c r="I1084"/>
  <c r="J1084"/>
  <c r="G1085"/>
  <c r="H1085"/>
  <c r="I1085"/>
  <c r="J1085"/>
  <c r="G1087"/>
  <c r="H1087"/>
  <c r="I1087"/>
  <c r="J1087"/>
  <c r="G1088"/>
  <c r="H1088"/>
  <c r="I1088"/>
  <c r="J1088"/>
  <c r="G1089"/>
  <c r="H1089"/>
  <c r="I1089"/>
  <c r="J1089"/>
  <c r="G1090"/>
  <c r="H1090"/>
  <c r="I1090"/>
  <c r="J1090"/>
  <c r="G1091"/>
  <c r="H1091"/>
  <c r="I1091"/>
  <c r="J1091"/>
  <c r="G1092"/>
  <c r="H1092"/>
  <c r="I1092"/>
  <c r="J1092"/>
  <c r="G1093"/>
  <c r="H1093"/>
  <c r="I1093"/>
  <c r="J1093"/>
  <c r="G1094"/>
  <c r="H1094"/>
  <c r="J1094"/>
  <c r="G1095"/>
  <c r="H1095"/>
  <c r="I1095"/>
  <c r="G1096"/>
  <c r="H1096"/>
  <c r="I1096"/>
  <c r="J1096"/>
  <c r="G1097"/>
  <c r="H1097"/>
  <c r="I1097"/>
  <c r="J1097"/>
  <c r="G1098"/>
  <c r="H1098"/>
  <c r="I1098"/>
  <c r="J1098"/>
  <c r="G1099"/>
  <c r="H1099"/>
  <c r="I1099"/>
  <c r="J1099"/>
  <c r="G1100"/>
  <c r="H1100"/>
  <c r="I1100"/>
  <c r="J1100"/>
  <c r="G1101"/>
  <c r="H1101"/>
  <c r="I1101"/>
  <c r="J1101"/>
  <c r="G1102"/>
  <c r="H1102"/>
  <c r="I1102"/>
  <c r="J1102"/>
  <c r="G1104"/>
  <c r="H1104"/>
  <c r="I1104"/>
  <c r="J1104"/>
  <c r="G1105"/>
  <c r="H1105"/>
  <c r="I1105"/>
  <c r="J1105"/>
  <c r="G1106"/>
  <c r="H1106"/>
  <c r="I1106"/>
  <c r="J1106"/>
  <c r="G1107"/>
  <c r="H1107"/>
  <c r="I1107"/>
  <c r="J1107"/>
  <c r="G1108"/>
  <c r="H1108"/>
  <c r="I1108"/>
  <c r="J1108"/>
  <c r="G1109"/>
  <c r="H1109"/>
  <c r="I1109"/>
  <c r="J1109"/>
  <c r="G1110"/>
  <c r="H1110"/>
  <c r="I1110"/>
  <c r="J1110"/>
  <c r="G1111"/>
  <c r="H1111"/>
  <c r="I1111"/>
  <c r="J1111"/>
  <c r="G1112"/>
  <c r="H1112"/>
  <c r="J1112"/>
  <c r="G1113"/>
  <c r="H1113"/>
  <c r="I1113"/>
  <c r="G1114"/>
  <c r="H1114"/>
  <c r="I1114"/>
  <c r="J1114"/>
  <c r="G1115"/>
  <c r="H1115"/>
  <c r="I1115"/>
  <c r="J1115"/>
  <c r="G1116"/>
  <c r="H1116"/>
  <c r="I1116"/>
  <c r="J1116"/>
  <c r="G1117"/>
  <c r="H1117"/>
  <c r="I1117"/>
  <c r="J1117"/>
  <c r="G1118"/>
  <c r="H1118"/>
  <c r="I1118"/>
  <c r="J1118"/>
  <c r="G1119"/>
  <c r="H1119"/>
  <c r="I1119"/>
  <c r="J1119"/>
  <c r="G1120"/>
  <c r="H1120"/>
  <c r="I1120"/>
  <c r="J1120"/>
  <c r="G1127"/>
  <c r="H1127"/>
  <c r="I1127"/>
  <c r="J1127"/>
  <c r="G1128"/>
  <c r="H1128"/>
  <c r="I1128"/>
  <c r="J1128"/>
  <c r="G1129"/>
  <c r="H1129"/>
  <c r="I1129"/>
  <c r="J1129"/>
  <c r="G1130"/>
  <c r="H1130"/>
  <c r="I1130"/>
  <c r="G1131"/>
  <c r="H1131"/>
  <c r="I1131"/>
  <c r="J1131"/>
  <c r="G1132"/>
  <c r="H1132"/>
  <c r="I1132"/>
  <c r="J1132"/>
  <c r="G1133"/>
  <c r="H1133"/>
  <c r="I1133"/>
  <c r="J1133"/>
  <c r="G1134"/>
  <c r="H1134"/>
  <c r="I1134"/>
  <c r="J1134"/>
  <c r="G1135"/>
  <c r="H1135"/>
  <c r="I1135"/>
  <c r="J1135"/>
  <c r="G1136"/>
  <c r="H1136"/>
  <c r="I1136"/>
  <c r="J1136"/>
  <c r="G1137"/>
  <c r="H1137"/>
  <c r="I1137"/>
  <c r="J1137"/>
  <c r="G1138"/>
  <c r="H1138"/>
  <c r="I1138"/>
  <c r="J1138"/>
  <c r="G1139"/>
  <c r="H1139"/>
  <c r="I1139"/>
  <c r="J1139"/>
  <c r="G1140"/>
  <c r="H1140"/>
  <c r="I1140"/>
  <c r="J1140"/>
  <c r="G1142"/>
  <c r="H1142"/>
  <c r="I1142"/>
  <c r="J1142"/>
  <c r="G1143"/>
  <c r="H1143"/>
  <c r="I1143"/>
  <c r="J1143"/>
  <c r="G1144"/>
  <c r="H1144"/>
  <c r="I1144"/>
  <c r="J1144"/>
  <c r="G1145"/>
  <c r="H1145"/>
  <c r="I1145"/>
  <c r="J1145"/>
  <c r="G1146"/>
  <c r="H1146"/>
  <c r="I1146"/>
  <c r="J1146"/>
  <c r="G1147"/>
  <c r="H1147"/>
  <c r="I1147"/>
  <c r="J1147"/>
  <c r="G1148"/>
  <c r="H1148"/>
  <c r="I1148"/>
  <c r="J1148"/>
  <c r="G1149"/>
  <c r="H1149"/>
  <c r="I1149"/>
  <c r="J1149"/>
  <c r="G1150"/>
  <c r="H1150"/>
  <c r="I1150"/>
  <c r="J1150"/>
  <c r="G1152"/>
  <c r="H1152"/>
  <c r="I1152"/>
  <c r="J1152"/>
  <c r="G1153"/>
  <c r="H1153"/>
  <c r="I1153"/>
  <c r="J1153"/>
  <c r="G1154"/>
  <c r="H1154"/>
  <c r="I1154"/>
  <c r="J1154"/>
  <c r="G1155"/>
  <c r="H1155"/>
  <c r="I1155"/>
  <c r="J1155"/>
  <c r="G1156"/>
  <c r="H1156"/>
  <c r="I1156"/>
  <c r="J1156"/>
  <c r="G1157"/>
  <c r="H1157"/>
  <c r="I1157"/>
  <c r="J1157"/>
  <c r="G1158"/>
  <c r="H1158"/>
  <c r="I1158"/>
  <c r="J1158"/>
  <c r="M1158"/>
  <c r="L1158"/>
  <c r="K1158"/>
  <c r="M1157"/>
  <c r="L1157"/>
  <c r="K1157"/>
  <c r="M1156"/>
  <c r="L1156"/>
  <c r="K1156"/>
  <c r="M1155"/>
  <c r="L1155"/>
  <c r="K1155"/>
  <c r="E1155"/>
  <c r="M1154"/>
  <c r="L1154"/>
  <c r="K1154"/>
  <c r="E1154"/>
  <c r="M1153"/>
  <c r="L1153"/>
  <c r="K1153"/>
  <c r="M1152"/>
  <c r="L1152"/>
  <c r="K1152"/>
  <c r="M1150"/>
  <c r="L1150"/>
  <c r="K1150"/>
  <c r="M1149"/>
  <c r="L1149"/>
  <c r="K1149"/>
  <c r="M1148"/>
  <c r="L1148"/>
  <c r="K1148"/>
  <c r="M1147"/>
  <c r="L1147"/>
  <c r="K1147"/>
  <c r="M1146"/>
  <c r="L1146"/>
  <c r="K1146"/>
  <c r="M1145"/>
  <c r="L1145"/>
  <c r="K1145"/>
  <c r="M1144"/>
  <c r="L1144"/>
  <c r="K1144"/>
  <c r="M1143"/>
  <c r="L1143"/>
  <c r="K1143"/>
  <c r="M1142"/>
  <c r="M1141" s="1"/>
  <c r="L1142"/>
  <c r="K1142"/>
  <c r="K1141" s="1"/>
  <c r="M1140"/>
  <c r="L1140"/>
  <c r="K1140"/>
  <c r="M1139"/>
  <c r="L1139"/>
  <c r="K1139"/>
  <c r="M1138"/>
  <c r="L1138"/>
  <c r="K1138"/>
  <c r="M1137"/>
  <c r="L1137"/>
  <c r="K1137"/>
  <c r="M1136"/>
  <c r="L1136"/>
  <c r="K1136"/>
  <c r="M1135"/>
  <c r="L1135"/>
  <c r="K1135"/>
  <c r="M1134"/>
  <c r="L1134"/>
  <c r="K1134"/>
  <c r="E1134"/>
  <c r="M1133"/>
  <c r="L1133"/>
  <c r="K1133"/>
  <c r="E1133"/>
  <c r="M1132"/>
  <c r="L1132"/>
  <c r="K1132"/>
  <c r="M1131"/>
  <c r="L1131"/>
  <c r="K1131"/>
  <c r="M1130"/>
  <c r="L1130"/>
  <c r="K1130"/>
  <c r="E1130"/>
  <c r="J1130" s="1"/>
  <c r="M1129"/>
  <c r="L1129"/>
  <c r="K1129"/>
  <c r="M1128"/>
  <c r="L1128"/>
  <c r="K1128"/>
  <c r="M1127"/>
  <c r="L1127"/>
  <c r="K1127"/>
  <c r="M1120"/>
  <c r="L1120"/>
  <c r="K1120"/>
  <c r="M1119"/>
  <c r="L1119"/>
  <c r="K1119"/>
  <c r="M1118"/>
  <c r="L1118"/>
  <c r="K1118"/>
  <c r="M1117"/>
  <c r="L1117"/>
  <c r="K1117"/>
  <c r="M1116"/>
  <c r="L1116"/>
  <c r="K1116"/>
  <c r="M1115"/>
  <c r="L1115"/>
  <c r="K1115"/>
  <c r="M1114"/>
  <c r="L1114"/>
  <c r="K1114"/>
  <c r="M1113"/>
  <c r="L1113"/>
  <c r="K1113"/>
  <c r="E1113"/>
  <c r="J1113" s="1"/>
  <c r="M1112"/>
  <c r="L1112"/>
  <c r="K1112"/>
  <c r="E1112"/>
  <c r="I1112" s="1"/>
  <c r="M1111"/>
  <c r="L1111"/>
  <c r="K1111"/>
  <c r="M1110"/>
  <c r="L1110"/>
  <c r="K1110"/>
  <c r="M1109"/>
  <c r="L1109"/>
  <c r="K1109"/>
  <c r="M1108"/>
  <c r="L1108"/>
  <c r="K1108"/>
  <c r="M1107"/>
  <c r="L1107"/>
  <c r="K1107"/>
  <c r="M1106"/>
  <c r="L1106"/>
  <c r="K1106"/>
  <c r="M1105"/>
  <c r="L1105"/>
  <c r="K1105"/>
  <c r="M1104"/>
  <c r="M1103" s="1"/>
  <c r="L1104"/>
  <c r="K1104"/>
  <c r="M1102"/>
  <c r="L1102"/>
  <c r="K1102"/>
  <c r="M1101"/>
  <c r="L1101"/>
  <c r="K1101"/>
  <c r="M1100"/>
  <c r="L1100"/>
  <c r="K1100"/>
  <c r="M1099"/>
  <c r="L1099"/>
  <c r="K1099"/>
  <c r="M1098"/>
  <c r="L1098"/>
  <c r="K1098"/>
  <c r="E1098"/>
  <c r="E1099" s="1"/>
  <c r="M1097"/>
  <c r="L1097"/>
  <c r="K1097"/>
  <c r="M1096"/>
  <c r="L1096"/>
  <c r="K1096"/>
  <c r="E1096"/>
  <c r="M1095"/>
  <c r="L1095"/>
  <c r="K1095"/>
  <c r="E1095"/>
  <c r="J1095" s="1"/>
  <c r="M1094"/>
  <c r="L1094"/>
  <c r="K1094"/>
  <c r="E1094"/>
  <c r="I1094" s="1"/>
  <c r="M1093"/>
  <c r="L1093"/>
  <c r="K1093"/>
  <c r="E1093"/>
  <c r="M1092"/>
  <c r="L1092"/>
  <c r="K1092"/>
  <c r="M1091"/>
  <c r="L1091"/>
  <c r="K1091"/>
  <c r="M1090"/>
  <c r="L1090"/>
  <c r="K1090"/>
  <c r="M1089"/>
  <c r="L1089"/>
  <c r="K1089"/>
  <c r="M1088"/>
  <c r="L1088"/>
  <c r="K1088"/>
  <c r="M1087"/>
  <c r="L1087"/>
  <c r="K1087"/>
  <c r="M1085"/>
  <c r="L1085"/>
  <c r="K1085"/>
  <c r="M1084"/>
  <c r="L1084"/>
  <c r="K1084"/>
  <c r="M1083"/>
  <c r="L1083"/>
  <c r="K1083"/>
  <c r="M1082"/>
  <c r="L1082"/>
  <c r="K1082"/>
  <c r="M1081"/>
  <c r="L1081"/>
  <c r="K1081"/>
  <c r="M1080"/>
  <c r="L1080"/>
  <c r="K1080"/>
  <c r="M1079"/>
  <c r="L1079"/>
  <c r="K1079"/>
  <c r="M1078"/>
  <c r="L1078"/>
  <c r="K1078"/>
  <c r="M1077"/>
  <c r="L1077"/>
  <c r="K1077"/>
  <c r="E1077"/>
  <c r="J1077" s="1"/>
  <c r="M1076"/>
  <c r="L1076"/>
  <c r="K1076"/>
  <c r="E1076"/>
  <c r="I1076" s="1"/>
  <c r="M1075"/>
  <c r="L1075"/>
  <c r="K1075"/>
  <c r="M1074"/>
  <c r="L1074"/>
  <c r="K1074"/>
  <c r="E1074"/>
  <c r="M1073"/>
  <c r="L1073"/>
  <c r="K1073"/>
  <c r="M1072"/>
  <c r="L1072"/>
  <c r="K1072"/>
  <c r="M1071"/>
  <c r="L1071"/>
  <c r="K1071"/>
  <c r="M1070"/>
  <c r="L1070"/>
  <c r="K1070"/>
  <c r="M1069"/>
  <c r="L1069"/>
  <c r="K1069"/>
  <c r="M1068"/>
  <c r="L1068"/>
  <c r="K1068"/>
  <c r="M1065"/>
  <c r="L1065"/>
  <c r="K1065"/>
  <c r="M1064"/>
  <c r="L1064"/>
  <c r="K1064"/>
  <c r="M1063"/>
  <c r="L1063"/>
  <c r="K1063"/>
  <c r="M1062"/>
  <c r="L1062"/>
  <c r="K1062"/>
  <c r="M1061"/>
  <c r="L1061"/>
  <c r="K1061"/>
  <c r="E1061"/>
  <c r="M1060"/>
  <c r="L1060"/>
  <c r="K1060"/>
  <c r="M1059"/>
  <c r="L1059"/>
  <c r="K1059"/>
  <c r="M1058"/>
  <c r="L1058"/>
  <c r="K1058"/>
  <c r="M1057"/>
  <c r="L1057"/>
  <c r="K1057"/>
  <c r="E1057"/>
  <c r="M1056"/>
  <c r="L1056"/>
  <c r="K1056"/>
  <c r="E1056"/>
  <c r="J1056" s="1"/>
  <c r="M1055"/>
  <c r="L1055"/>
  <c r="K1055"/>
  <c r="E1055"/>
  <c r="I1055" s="1"/>
  <c r="M1054"/>
  <c r="L1054"/>
  <c r="K1054"/>
  <c r="M1053"/>
  <c r="L1053"/>
  <c r="K1053"/>
  <c r="E1053"/>
  <c r="M1052"/>
  <c r="L1052"/>
  <c r="K1052"/>
  <c r="E1052"/>
  <c r="M1051"/>
  <c r="L1051"/>
  <c r="K1051"/>
  <c r="E1051"/>
  <c r="H1051" s="1"/>
  <c r="M1050"/>
  <c r="L1050"/>
  <c r="K1050"/>
  <c r="E1050"/>
  <c r="M1049"/>
  <c r="L1049"/>
  <c r="K1049"/>
  <c r="E1049"/>
  <c r="M1048"/>
  <c r="L1048"/>
  <c r="K1048"/>
  <c r="E1048"/>
  <c r="M1047"/>
  <c r="L1047"/>
  <c r="K1047"/>
  <c r="E1047"/>
  <c r="G1047" s="1"/>
  <c r="M1045"/>
  <c r="L1045"/>
  <c r="K1045"/>
  <c r="M1044"/>
  <c r="L1044"/>
  <c r="K1044"/>
  <c r="M1043"/>
  <c r="L1043"/>
  <c r="K1043"/>
  <c r="M1042"/>
  <c r="L1042"/>
  <c r="K1042"/>
  <c r="M1041"/>
  <c r="L1041"/>
  <c r="K1041"/>
  <c r="E1041"/>
  <c r="M1040"/>
  <c r="L1040"/>
  <c r="K1040"/>
  <c r="M1039"/>
  <c r="L1039"/>
  <c r="K1039"/>
  <c r="M1038"/>
  <c r="L1038"/>
  <c r="K1038"/>
  <c r="M1037"/>
  <c r="L1037"/>
  <c r="K1037"/>
  <c r="E1037"/>
  <c r="M1036"/>
  <c r="L1036"/>
  <c r="K1036"/>
  <c r="M1035"/>
  <c r="L1035"/>
  <c r="K1035"/>
  <c r="M1033"/>
  <c r="L1033"/>
  <c r="K1033"/>
  <c r="M1032"/>
  <c r="L1032"/>
  <c r="K1032"/>
  <c r="M1031"/>
  <c r="L1031"/>
  <c r="K1031"/>
  <c r="M1030"/>
  <c r="L1030"/>
  <c r="K1030"/>
  <c r="M1029"/>
  <c r="L1029"/>
  <c r="K1029"/>
  <c r="M1028"/>
  <c r="L1028"/>
  <c r="K1028"/>
  <c r="M1027"/>
  <c r="L1027"/>
  <c r="K1027"/>
  <c r="M1026"/>
  <c r="L1026"/>
  <c r="K1026"/>
  <c r="M1025"/>
  <c r="L1025"/>
  <c r="K1025"/>
  <c r="E1025"/>
  <c r="J1025" s="1"/>
  <c r="M1024"/>
  <c r="L1024"/>
  <c r="K1024"/>
  <c r="E1024"/>
  <c r="I1024" s="1"/>
  <c r="M1023"/>
  <c r="L1023"/>
  <c r="K1023"/>
  <c r="M1022"/>
  <c r="L1022"/>
  <c r="K1022"/>
  <c r="E1022"/>
  <c r="M1021"/>
  <c r="L1021"/>
  <c r="K1021"/>
  <c r="M1020"/>
  <c r="L1020"/>
  <c r="K1020"/>
  <c r="M1019"/>
  <c r="L1019"/>
  <c r="K1019"/>
  <c r="M1018"/>
  <c r="L1018"/>
  <c r="K1018"/>
  <c r="M1017"/>
  <c r="L1017"/>
  <c r="K1017"/>
  <c r="M1016"/>
  <c r="L1016"/>
  <c r="K1016"/>
  <c r="M1014"/>
  <c r="L1014"/>
  <c r="K1014"/>
  <c r="M1013"/>
  <c r="L1013"/>
  <c r="K1013"/>
  <c r="M1012"/>
  <c r="L1012"/>
  <c r="K1012"/>
  <c r="M1011"/>
  <c r="L1011"/>
  <c r="K1011"/>
  <c r="M1010"/>
  <c r="L1010"/>
  <c r="K1010"/>
  <c r="M1009"/>
  <c r="L1009"/>
  <c r="K1009"/>
  <c r="M1008"/>
  <c r="L1008"/>
  <c r="K1008"/>
  <c r="M1007"/>
  <c r="L1007"/>
  <c r="K1007"/>
  <c r="M1006"/>
  <c r="L1006"/>
  <c r="K1006"/>
  <c r="M1005"/>
  <c r="L1005"/>
  <c r="K1005"/>
  <c r="M1004"/>
  <c r="L1004"/>
  <c r="K1004"/>
  <c r="E1004"/>
  <c r="M1003"/>
  <c r="L1003"/>
  <c r="K1003"/>
  <c r="M1002"/>
  <c r="L1002"/>
  <c r="K1002"/>
  <c r="M1001"/>
  <c r="L1001"/>
  <c r="K1001"/>
  <c r="M1000"/>
  <c r="L1000"/>
  <c r="K1000"/>
  <c r="M999"/>
  <c r="L999"/>
  <c r="K999"/>
  <c r="M998"/>
  <c r="L998"/>
  <c r="K998"/>
  <c r="M996"/>
  <c r="L996"/>
  <c r="K996"/>
  <c r="M995"/>
  <c r="L995"/>
  <c r="K995"/>
  <c r="M994"/>
  <c r="L994"/>
  <c r="K994"/>
  <c r="M993"/>
  <c r="L993"/>
  <c r="K993"/>
  <c r="M992"/>
  <c r="L992"/>
  <c r="K992"/>
  <c r="M991"/>
  <c r="L991"/>
  <c r="K991"/>
  <c r="M990"/>
  <c r="L990"/>
  <c r="K990"/>
  <c r="M989"/>
  <c r="L989"/>
  <c r="K989"/>
  <c r="M988"/>
  <c r="L988"/>
  <c r="K988"/>
  <c r="E988"/>
  <c r="J988" s="1"/>
  <c r="M987"/>
  <c r="L987"/>
  <c r="K987"/>
  <c r="E987"/>
  <c r="I987" s="1"/>
  <c r="M986"/>
  <c r="L986"/>
  <c r="K986"/>
  <c r="M985"/>
  <c r="L985"/>
  <c r="K985"/>
  <c r="E985"/>
  <c r="M984"/>
  <c r="L984"/>
  <c r="K984"/>
  <c r="M983"/>
  <c r="L983"/>
  <c r="K983"/>
  <c r="M982"/>
  <c r="L982"/>
  <c r="K982"/>
  <c r="M981"/>
  <c r="L981"/>
  <c r="K981"/>
  <c r="M980"/>
  <c r="L980"/>
  <c r="K980"/>
  <c r="M979"/>
  <c r="L979"/>
  <c r="K979"/>
  <c r="M977"/>
  <c r="L977"/>
  <c r="K977"/>
  <c r="M976"/>
  <c r="L976"/>
  <c r="K976"/>
  <c r="M975"/>
  <c r="L975"/>
  <c r="K975"/>
  <c r="M974"/>
  <c r="L974"/>
  <c r="K974"/>
  <c r="E974"/>
  <c r="J974" s="1"/>
  <c r="M973"/>
  <c r="L973"/>
  <c r="K973"/>
  <c r="E973"/>
  <c r="I973" s="1"/>
  <c r="M972"/>
  <c r="L972"/>
  <c r="K972"/>
  <c r="M971"/>
  <c r="L971"/>
  <c r="K971"/>
  <c r="M970"/>
  <c r="L970"/>
  <c r="K970"/>
  <c r="M969"/>
  <c r="L969"/>
  <c r="K969"/>
  <c r="M968"/>
  <c r="L968"/>
  <c r="K968"/>
  <c r="M967"/>
  <c r="L967"/>
  <c r="K967"/>
  <c r="M966"/>
  <c r="L966"/>
  <c r="K966"/>
  <c r="M965"/>
  <c r="L965"/>
  <c r="K965"/>
  <c r="M964"/>
  <c r="L964"/>
  <c r="K964"/>
  <c r="M963"/>
  <c r="L963"/>
  <c r="K963"/>
  <c r="M962"/>
  <c r="L962"/>
  <c r="K962"/>
  <c r="E962"/>
  <c r="M961"/>
  <c r="L961"/>
  <c r="K961"/>
  <c r="M960"/>
  <c r="L960"/>
  <c r="K960"/>
  <c r="M956"/>
  <c r="L956"/>
  <c r="K956"/>
  <c r="M955"/>
  <c r="L955"/>
  <c r="K955"/>
  <c r="M954"/>
  <c r="L954"/>
  <c r="K954"/>
  <c r="M953"/>
  <c r="L953"/>
  <c r="K953"/>
  <c r="E953"/>
  <c r="M952"/>
  <c r="L952"/>
  <c r="K952"/>
  <c r="E952"/>
  <c r="M951"/>
  <c r="L951"/>
  <c r="K951"/>
  <c r="M950"/>
  <c r="L950"/>
  <c r="K950"/>
  <c r="M948"/>
  <c r="L948"/>
  <c r="K948"/>
  <c r="M947"/>
  <c r="L947"/>
  <c r="K947"/>
  <c r="M946"/>
  <c r="L946"/>
  <c r="K946"/>
  <c r="M945"/>
  <c r="L945"/>
  <c r="K945"/>
  <c r="M944"/>
  <c r="L944"/>
  <c r="K944"/>
  <c r="M943"/>
  <c r="L943"/>
  <c r="K943"/>
  <c r="M942"/>
  <c r="L942"/>
  <c r="K942"/>
  <c r="M941"/>
  <c r="L941"/>
  <c r="K941"/>
  <c r="M940"/>
  <c r="L940"/>
  <c r="K940"/>
  <c r="M938"/>
  <c r="L938"/>
  <c r="K938"/>
  <c r="M937"/>
  <c r="L937"/>
  <c r="K937"/>
  <c r="M936"/>
  <c r="L936"/>
  <c r="K936"/>
  <c r="M935"/>
  <c r="L935"/>
  <c r="K935"/>
  <c r="M934"/>
  <c r="L934"/>
  <c r="K934"/>
  <c r="M933"/>
  <c r="L933"/>
  <c r="K933"/>
  <c r="M932"/>
  <c r="L932"/>
  <c r="K932"/>
  <c r="E932"/>
  <c r="M931"/>
  <c r="L931"/>
  <c r="K931"/>
  <c r="E931"/>
  <c r="M930"/>
  <c r="L930"/>
  <c r="K930"/>
  <c r="M929"/>
  <c r="L929"/>
  <c r="K929"/>
  <c r="M928"/>
  <c r="L928"/>
  <c r="K928"/>
  <c r="E928"/>
  <c r="J928" s="1"/>
  <c r="M927"/>
  <c r="L927"/>
  <c r="K927"/>
  <c r="M926"/>
  <c r="L926"/>
  <c r="K926"/>
  <c r="M925"/>
  <c r="L925"/>
  <c r="K925"/>
  <c r="M918"/>
  <c r="L918"/>
  <c r="K918"/>
  <c r="M917"/>
  <c r="L917"/>
  <c r="K917"/>
  <c r="M916"/>
  <c r="L916"/>
  <c r="K916"/>
  <c r="M915"/>
  <c r="L915"/>
  <c r="K915"/>
  <c r="M914"/>
  <c r="L914"/>
  <c r="K914"/>
  <c r="M913"/>
  <c r="L913"/>
  <c r="K913"/>
  <c r="M912"/>
  <c r="L912"/>
  <c r="K912"/>
  <c r="M911"/>
  <c r="L911"/>
  <c r="K911"/>
  <c r="E911"/>
  <c r="J911" s="1"/>
  <c r="M910"/>
  <c r="L910"/>
  <c r="K910"/>
  <c r="M909"/>
  <c r="L909"/>
  <c r="K909"/>
  <c r="M908"/>
  <c r="L908"/>
  <c r="K908"/>
  <c r="M907"/>
  <c r="L907"/>
  <c r="K907"/>
  <c r="M906"/>
  <c r="L906"/>
  <c r="K906"/>
  <c r="M905"/>
  <c r="L905"/>
  <c r="K905"/>
  <c r="M904"/>
  <c r="L904"/>
  <c r="K904"/>
  <c r="M903"/>
  <c r="L903"/>
  <c r="K903"/>
  <c r="M902"/>
  <c r="L902"/>
  <c r="K902"/>
  <c r="M900"/>
  <c r="L900"/>
  <c r="K900"/>
  <c r="M899"/>
  <c r="L899"/>
  <c r="K899"/>
  <c r="M898"/>
  <c r="L898"/>
  <c r="K898"/>
  <c r="M897"/>
  <c r="L897"/>
  <c r="K897"/>
  <c r="M896"/>
  <c r="L896"/>
  <c r="K896"/>
  <c r="E896"/>
  <c r="E897" s="1"/>
  <c r="M895"/>
  <c r="L895"/>
  <c r="K895"/>
  <c r="M894"/>
  <c r="L894"/>
  <c r="K894"/>
  <c r="E894"/>
  <c r="M893"/>
  <c r="L893"/>
  <c r="K893"/>
  <c r="E893"/>
  <c r="J893" s="1"/>
  <c r="M892"/>
  <c r="L892"/>
  <c r="K892"/>
  <c r="E892"/>
  <c r="I892" s="1"/>
  <c r="M891"/>
  <c r="L891"/>
  <c r="K891"/>
  <c r="E891"/>
  <c r="M890"/>
  <c r="L890"/>
  <c r="K890"/>
  <c r="M889"/>
  <c r="L889"/>
  <c r="K889"/>
  <c r="M888"/>
  <c r="L888"/>
  <c r="K888"/>
  <c r="M887"/>
  <c r="L887"/>
  <c r="K887"/>
  <c r="M886"/>
  <c r="L886"/>
  <c r="K886"/>
  <c r="M885"/>
  <c r="L885"/>
  <c r="K885"/>
  <c r="M883"/>
  <c r="L883"/>
  <c r="K883"/>
  <c r="M882"/>
  <c r="L882"/>
  <c r="K882"/>
  <c r="M881"/>
  <c r="L881"/>
  <c r="K881"/>
  <c r="M880"/>
  <c r="L880"/>
  <c r="K880"/>
  <c r="M879"/>
  <c r="L879"/>
  <c r="K879"/>
  <c r="M878"/>
  <c r="L878"/>
  <c r="K878"/>
  <c r="M877"/>
  <c r="L877"/>
  <c r="K877"/>
  <c r="M876"/>
  <c r="L876"/>
  <c r="K876"/>
  <c r="M875"/>
  <c r="L875"/>
  <c r="K875"/>
  <c r="E875"/>
  <c r="J875" s="1"/>
  <c r="M874"/>
  <c r="L874"/>
  <c r="K874"/>
  <c r="E874"/>
  <c r="I874" s="1"/>
  <c r="M873"/>
  <c r="L873"/>
  <c r="K873"/>
  <c r="M872"/>
  <c r="L872"/>
  <c r="K872"/>
  <c r="E872"/>
  <c r="M871"/>
  <c r="L871"/>
  <c r="K871"/>
  <c r="M870"/>
  <c r="L870"/>
  <c r="K870"/>
  <c r="M869"/>
  <c r="L869"/>
  <c r="K869"/>
  <c r="M868"/>
  <c r="L868"/>
  <c r="K868"/>
  <c r="M867"/>
  <c r="L867"/>
  <c r="K867"/>
  <c r="M866"/>
  <c r="L866"/>
  <c r="K866"/>
  <c r="M863"/>
  <c r="L863"/>
  <c r="K863"/>
  <c r="M862"/>
  <c r="L862"/>
  <c r="K862"/>
  <c r="M861"/>
  <c r="L861"/>
  <c r="K861"/>
  <c r="M860"/>
  <c r="L860"/>
  <c r="K860"/>
  <c r="M859"/>
  <c r="L859"/>
  <c r="K859"/>
  <c r="E859"/>
  <c r="M858"/>
  <c r="L858"/>
  <c r="K858"/>
  <c r="M857"/>
  <c r="L857"/>
  <c r="K857"/>
  <c r="M856"/>
  <c r="L856"/>
  <c r="K856"/>
  <c r="M855"/>
  <c r="L855"/>
  <c r="K855"/>
  <c r="E855"/>
  <c r="M854"/>
  <c r="L854"/>
  <c r="K854"/>
  <c r="E854"/>
  <c r="J854" s="1"/>
  <c r="M853"/>
  <c r="L853"/>
  <c r="K853"/>
  <c r="E853"/>
  <c r="I853" s="1"/>
  <c r="M852"/>
  <c r="L852"/>
  <c r="K852"/>
  <c r="M851"/>
  <c r="L851"/>
  <c r="K851"/>
  <c r="E851"/>
  <c r="M850"/>
  <c r="L850"/>
  <c r="K850"/>
  <c r="E850"/>
  <c r="M849"/>
  <c r="L849"/>
  <c r="K849"/>
  <c r="E849"/>
  <c r="H849" s="1"/>
  <c r="M848"/>
  <c r="L848"/>
  <c r="K848"/>
  <c r="E848"/>
  <c r="M847"/>
  <c r="L847"/>
  <c r="K847"/>
  <c r="E847"/>
  <c r="M846"/>
  <c r="L846"/>
  <c r="K846"/>
  <c r="E846"/>
  <c r="M845"/>
  <c r="L845"/>
  <c r="K845"/>
  <c r="E845"/>
  <c r="G845" s="1"/>
  <c r="M843"/>
  <c r="L843"/>
  <c r="K843"/>
  <c r="M842"/>
  <c r="L842"/>
  <c r="K842"/>
  <c r="M841"/>
  <c r="L841"/>
  <c r="K841"/>
  <c r="M840"/>
  <c r="L840"/>
  <c r="K840"/>
  <c r="M839"/>
  <c r="L839"/>
  <c r="K839"/>
  <c r="E839"/>
  <c r="M838"/>
  <c r="L838"/>
  <c r="K838"/>
  <c r="M837"/>
  <c r="L837"/>
  <c r="K837"/>
  <c r="M836"/>
  <c r="L836"/>
  <c r="K836"/>
  <c r="M835"/>
  <c r="L835"/>
  <c r="K835"/>
  <c r="E835"/>
  <c r="M834"/>
  <c r="L834"/>
  <c r="K834"/>
  <c r="M833"/>
  <c r="L833"/>
  <c r="K833"/>
  <c r="M831"/>
  <c r="L831"/>
  <c r="K831"/>
  <c r="M830"/>
  <c r="L830"/>
  <c r="K830"/>
  <c r="M829"/>
  <c r="L829"/>
  <c r="K829"/>
  <c r="M828"/>
  <c r="L828"/>
  <c r="K828"/>
  <c r="M827"/>
  <c r="L827"/>
  <c r="K827"/>
  <c r="M826"/>
  <c r="L826"/>
  <c r="K826"/>
  <c r="M825"/>
  <c r="L825"/>
  <c r="K825"/>
  <c r="M824"/>
  <c r="L824"/>
  <c r="K824"/>
  <c r="M823"/>
  <c r="L823"/>
  <c r="K823"/>
  <c r="E823"/>
  <c r="J823" s="1"/>
  <c r="M822"/>
  <c r="L822"/>
  <c r="K822"/>
  <c r="E822"/>
  <c r="I822" s="1"/>
  <c r="M821"/>
  <c r="L821"/>
  <c r="K821"/>
  <c r="M820"/>
  <c r="L820"/>
  <c r="K820"/>
  <c r="E820"/>
  <c r="M819"/>
  <c r="L819"/>
  <c r="K819"/>
  <c r="M818"/>
  <c r="L818"/>
  <c r="K818"/>
  <c r="M817"/>
  <c r="L817"/>
  <c r="K817"/>
  <c r="M816"/>
  <c r="L816"/>
  <c r="K816"/>
  <c r="M815"/>
  <c r="L815"/>
  <c r="K815"/>
  <c r="M814"/>
  <c r="L814"/>
  <c r="K814"/>
  <c r="M812"/>
  <c r="L812"/>
  <c r="K812"/>
  <c r="M811"/>
  <c r="L811"/>
  <c r="K811"/>
  <c r="M810"/>
  <c r="L810"/>
  <c r="K810"/>
  <c r="M809"/>
  <c r="L809"/>
  <c r="K809"/>
  <c r="M808"/>
  <c r="L808"/>
  <c r="K808"/>
  <c r="M807"/>
  <c r="L807"/>
  <c r="K807"/>
  <c r="M806"/>
  <c r="L806"/>
  <c r="K806"/>
  <c r="M805"/>
  <c r="L805"/>
  <c r="K805"/>
  <c r="M804"/>
  <c r="L804"/>
  <c r="K804"/>
  <c r="M803"/>
  <c r="L803"/>
  <c r="K803"/>
  <c r="M802"/>
  <c r="L802"/>
  <c r="K802"/>
  <c r="E802"/>
  <c r="M801"/>
  <c r="L801"/>
  <c r="K801"/>
  <c r="M800"/>
  <c r="L800"/>
  <c r="K800"/>
  <c r="M799"/>
  <c r="L799"/>
  <c r="K799"/>
  <c r="M798"/>
  <c r="L798"/>
  <c r="K798"/>
  <c r="M797"/>
  <c r="L797"/>
  <c r="K797"/>
  <c r="M796"/>
  <c r="L796"/>
  <c r="K796"/>
  <c r="M794"/>
  <c r="L794"/>
  <c r="K794"/>
  <c r="M793"/>
  <c r="L793"/>
  <c r="K793"/>
  <c r="M792"/>
  <c r="L792"/>
  <c r="K792"/>
  <c r="M791"/>
  <c r="L791"/>
  <c r="K791"/>
  <c r="M790"/>
  <c r="L790"/>
  <c r="K790"/>
  <c r="M789"/>
  <c r="L789"/>
  <c r="K789"/>
  <c r="M788"/>
  <c r="L788"/>
  <c r="K788"/>
  <c r="M787"/>
  <c r="L787"/>
  <c r="K787"/>
  <c r="M786"/>
  <c r="L786"/>
  <c r="K786"/>
  <c r="E786"/>
  <c r="J786" s="1"/>
  <c r="M785"/>
  <c r="L785"/>
  <c r="K785"/>
  <c r="E785"/>
  <c r="I785" s="1"/>
  <c r="M784"/>
  <c r="L784"/>
  <c r="K784"/>
  <c r="M783"/>
  <c r="L783"/>
  <c r="K783"/>
  <c r="E783"/>
  <c r="M782"/>
  <c r="L782"/>
  <c r="K782"/>
  <c r="M781"/>
  <c r="L781"/>
  <c r="K781"/>
  <c r="M780"/>
  <c r="L780"/>
  <c r="K780"/>
  <c r="M779"/>
  <c r="L779"/>
  <c r="K779"/>
  <c r="M778"/>
  <c r="L778"/>
  <c r="K778"/>
  <c r="M777"/>
  <c r="L777"/>
  <c r="K777"/>
  <c r="M775"/>
  <c r="L775"/>
  <c r="K775"/>
  <c r="M774"/>
  <c r="L774"/>
  <c r="K774"/>
  <c r="M773"/>
  <c r="L773"/>
  <c r="K773"/>
  <c r="M772"/>
  <c r="L772"/>
  <c r="K772"/>
  <c r="E772"/>
  <c r="J772" s="1"/>
  <c r="M771"/>
  <c r="L771"/>
  <c r="K771"/>
  <c r="E771"/>
  <c r="I771" s="1"/>
  <c r="M770"/>
  <c r="L770"/>
  <c r="K770"/>
  <c r="M769"/>
  <c r="L769"/>
  <c r="K769"/>
  <c r="M768"/>
  <c r="L768"/>
  <c r="K768"/>
  <c r="M767"/>
  <c r="L767"/>
  <c r="K767"/>
  <c r="M766"/>
  <c r="L766"/>
  <c r="K766"/>
  <c r="M765"/>
  <c r="L765"/>
  <c r="K765"/>
  <c r="M764"/>
  <c r="L764"/>
  <c r="K764"/>
  <c r="M763"/>
  <c r="L763"/>
  <c r="K763"/>
  <c r="M762"/>
  <c r="L762"/>
  <c r="K762"/>
  <c r="M761"/>
  <c r="L761"/>
  <c r="K761"/>
  <c r="M760"/>
  <c r="L760"/>
  <c r="K760"/>
  <c r="E760"/>
  <c r="M759"/>
  <c r="L759"/>
  <c r="K759"/>
  <c r="M758"/>
  <c r="L758"/>
  <c r="K758"/>
  <c r="M756"/>
  <c r="L756"/>
  <c r="K756"/>
  <c r="M755"/>
  <c r="L755"/>
  <c r="K755"/>
  <c r="M754"/>
  <c r="L754"/>
  <c r="K754"/>
  <c r="M753"/>
  <c r="L753"/>
  <c r="K753"/>
  <c r="M752"/>
  <c r="L752"/>
  <c r="K752"/>
  <c r="M751"/>
  <c r="L751"/>
  <c r="K751"/>
  <c r="E751"/>
  <c r="M750"/>
  <c r="L750"/>
  <c r="K750"/>
  <c r="E750"/>
  <c r="E752" s="1"/>
  <c r="M749"/>
  <c r="L749"/>
  <c r="K749"/>
  <c r="M748"/>
  <c r="L748"/>
  <c r="K748"/>
  <c r="M747"/>
  <c r="L747"/>
  <c r="K747"/>
  <c r="E747"/>
  <c r="J747" s="1"/>
  <c r="M746"/>
  <c r="L746"/>
  <c r="K746"/>
  <c r="E746"/>
  <c r="I746" s="1"/>
  <c r="M745"/>
  <c r="L745"/>
  <c r="K745"/>
  <c r="M744"/>
  <c r="L744"/>
  <c r="K744"/>
  <c r="M743"/>
  <c r="L743"/>
  <c r="K743"/>
  <c r="M742"/>
  <c r="L742"/>
  <c r="K742"/>
  <c r="E742"/>
  <c r="M741"/>
  <c r="L741"/>
  <c r="K741"/>
  <c r="E741"/>
  <c r="G741" s="1"/>
  <c r="M739"/>
  <c r="L739"/>
  <c r="K739"/>
  <c r="M738"/>
  <c r="L738"/>
  <c r="K738"/>
  <c r="M737"/>
  <c r="L737"/>
  <c r="K737"/>
  <c r="M736"/>
  <c r="L736"/>
  <c r="K736"/>
  <c r="M735"/>
  <c r="L735"/>
  <c r="K735"/>
  <c r="M734"/>
  <c r="L734"/>
  <c r="K734"/>
  <c r="M733"/>
  <c r="L733"/>
  <c r="K733"/>
  <c r="M732"/>
  <c r="L732"/>
  <c r="K732"/>
  <c r="M731"/>
  <c r="L731"/>
  <c r="K731"/>
  <c r="E731"/>
  <c r="J731" s="1"/>
  <c r="M730"/>
  <c r="L730"/>
  <c r="K730"/>
  <c r="E730"/>
  <c r="I730" s="1"/>
  <c r="M729"/>
  <c r="L729"/>
  <c r="K729"/>
  <c r="M728"/>
  <c r="L728"/>
  <c r="K728"/>
  <c r="M727"/>
  <c r="L727"/>
  <c r="K727"/>
  <c r="M726"/>
  <c r="L726"/>
  <c r="K726"/>
  <c r="M725"/>
  <c r="L725"/>
  <c r="K725"/>
  <c r="M724"/>
  <c r="L724"/>
  <c r="K724"/>
  <c r="M723"/>
  <c r="L723"/>
  <c r="K723"/>
  <c r="M722"/>
  <c r="L722"/>
  <c r="K722"/>
  <c r="M718"/>
  <c r="L718"/>
  <c r="K718"/>
  <c r="M717"/>
  <c r="L717"/>
  <c r="K717"/>
  <c r="E717"/>
  <c r="M716"/>
  <c r="L716"/>
  <c r="K716"/>
  <c r="M715"/>
  <c r="L715"/>
  <c r="K715"/>
  <c r="M711"/>
  <c r="L711"/>
  <c r="K711"/>
  <c r="M710"/>
  <c r="L710"/>
  <c r="K710"/>
  <c r="M709"/>
  <c r="L709"/>
  <c r="K709"/>
  <c r="M708"/>
  <c r="L708"/>
  <c r="K708"/>
  <c r="M707"/>
  <c r="L707"/>
  <c r="K707"/>
  <c r="M706"/>
  <c r="L706"/>
  <c r="K706"/>
  <c r="M705"/>
  <c r="L705"/>
  <c r="K705"/>
  <c r="M704"/>
  <c r="L704"/>
  <c r="K704"/>
  <c r="E704"/>
  <c r="J704" s="1"/>
  <c r="M703"/>
  <c r="L703"/>
  <c r="K703"/>
  <c r="E703"/>
  <c r="I703" s="1"/>
  <c r="M702"/>
  <c r="L702"/>
  <c r="K702"/>
  <c r="M701"/>
  <c r="L701"/>
  <c r="K701"/>
  <c r="M700"/>
  <c r="L700"/>
  <c r="K700"/>
  <c r="M699"/>
  <c r="L699"/>
  <c r="K699"/>
  <c r="M697"/>
  <c r="L697"/>
  <c r="K697"/>
  <c r="M696"/>
  <c r="L696"/>
  <c r="K696"/>
  <c r="M695"/>
  <c r="L695"/>
  <c r="K695"/>
  <c r="E695"/>
  <c r="E696" s="1"/>
  <c r="M694"/>
  <c r="L694"/>
  <c r="K694"/>
  <c r="M693"/>
  <c r="L693"/>
  <c r="K693"/>
  <c r="E693"/>
  <c r="M692"/>
  <c r="L692"/>
  <c r="K692"/>
  <c r="E692"/>
  <c r="I692" s="1"/>
  <c r="M691"/>
  <c r="L691"/>
  <c r="K691"/>
  <c r="E691"/>
  <c r="M690"/>
  <c r="L690"/>
  <c r="K690"/>
  <c r="M689"/>
  <c r="L689"/>
  <c r="K689"/>
  <c r="M688"/>
  <c r="L688"/>
  <c r="K688"/>
  <c r="M687"/>
  <c r="L687"/>
  <c r="K687"/>
  <c r="M685"/>
  <c r="L685"/>
  <c r="K685"/>
  <c r="M684"/>
  <c r="L684"/>
  <c r="K684"/>
  <c r="M683"/>
  <c r="L683"/>
  <c r="K683"/>
  <c r="M682"/>
  <c r="L682"/>
  <c r="K682"/>
  <c r="M681"/>
  <c r="L681"/>
  <c r="K681"/>
  <c r="M680"/>
  <c r="L680"/>
  <c r="K680"/>
  <c r="M679"/>
  <c r="L679"/>
  <c r="K679"/>
  <c r="M678"/>
  <c r="L678"/>
  <c r="K678"/>
  <c r="M677"/>
  <c r="L677"/>
  <c r="K677"/>
  <c r="E677"/>
  <c r="J677" s="1"/>
  <c r="M676"/>
  <c r="L676"/>
  <c r="K676"/>
  <c r="E676"/>
  <c r="I676" s="1"/>
  <c r="M675"/>
  <c r="L675"/>
  <c r="K675"/>
  <c r="M674"/>
  <c r="L674"/>
  <c r="K674"/>
  <c r="M673"/>
  <c r="L673"/>
  <c r="K673"/>
  <c r="M672"/>
  <c r="L672"/>
  <c r="K672"/>
  <c r="M667"/>
  <c r="L667"/>
  <c r="K667"/>
  <c r="M666"/>
  <c r="L666"/>
  <c r="K666"/>
  <c r="E666"/>
  <c r="M665"/>
  <c r="L665"/>
  <c r="K665"/>
  <c r="M664"/>
  <c r="L664"/>
  <c r="K664"/>
  <c r="M659"/>
  <c r="L659"/>
  <c r="K659"/>
  <c r="M658"/>
  <c r="L658"/>
  <c r="K658"/>
  <c r="M657"/>
  <c r="L657"/>
  <c r="K657"/>
  <c r="E657"/>
  <c r="E658" s="1"/>
  <c r="M656"/>
  <c r="L656"/>
  <c r="K656"/>
  <c r="M655"/>
  <c r="L655"/>
  <c r="K655"/>
  <c r="M654"/>
  <c r="L654"/>
  <c r="K654"/>
  <c r="M653"/>
  <c r="L653"/>
  <c r="K653"/>
  <c r="M652"/>
  <c r="L652"/>
  <c r="K652"/>
  <c r="M651"/>
  <c r="L651"/>
  <c r="K651"/>
  <c r="M650"/>
  <c r="L650"/>
  <c r="K650"/>
  <c r="M649"/>
  <c r="L649"/>
  <c r="K649"/>
  <c r="M648"/>
  <c r="L648"/>
  <c r="K648"/>
  <c r="M647"/>
  <c r="L647"/>
  <c r="K647"/>
  <c r="M646"/>
  <c r="L646"/>
  <c r="K646"/>
  <c r="M644"/>
  <c r="L644"/>
  <c r="K644"/>
  <c r="M643"/>
  <c r="L643"/>
  <c r="K643"/>
  <c r="M642"/>
  <c r="L642"/>
  <c r="K642"/>
  <c r="M641"/>
  <c r="L641"/>
  <c r="K641"/>
  <c r="M640"/>
  <c r="L640"/>
  <c r="K640"/>
  <c r="M639"/>
  <c r="L639"/>
  <c r="K639"/>
  <c r="M638"/>
  <c r="L638"/>
  <c r="K638"/>
  <c r="E638"/>
  <c r="M637"/>
  <c r="L637"/>
  <c r="K637"/>
  <c r="E637"/>
  <c r="E636" s="1"/>
  <c r="I636" s="1"/>
  <c r="M636"/>
  <c r="L636"/>
  <c r="K636"/>
  <c r="M635"/>
  <c r="L635"/>
  <c r="K635"/>
  <c r="M634"/>
  <c r="L634"/>
  <c r="K634"/>
  <c r="M633"/>
  <c r="L633"/>
  <c r="K633"/>
  <c r="M632"/>
  <c r="L632"/>
  <c r="K632"/>
  <c r="E632"/>
  <c r="M631"/>
  <c r="L631"/>
  <c r="K631"/>
  <c r="E631"/>
  <c r="H631" s="1"/>
  <c r="M630"/>
  <c r="L630"/>
  <c r="K630"/>
  <c r="M629"/>
  <c r="L629"/>
  <c r="K629"/>
  <c r="M628"/>
  <c r="L628"/>
  <c r="K628"/>
  <c r="M627"/>
  <c r="L627"/>
  <c r="K627"/>
  <c r="M626"/>
  <c r="L626"/>
  <c r="K626"/>
  <c r="M624"/>
  <c r="L624"/>
  <c r="K624"/>
  <c r="M623"/>
  <c r="L623"/>
  <c r="K623"/>
  <c r="M622"/>
  <c r="L622"/>
  <c r="K622"/>
  <c r="M621"/>
  <c r="L621"/>
  <c r="K621"/>
  <c r="E621"/>
  <c r="M620"/>
  <c r="L620"/>
  <c r="K620"/>
  <c r="E620"/>
  <c r="M619"/>
  <c r="L619"/>
  <c r="K619"/>
  <c r="M618"/>
  <c r="L618"/>
  <c r="K618"/>
  <c r="M617"/>
  <c r="L617"/>
  <c r="K617"/>
  <c r="M616"/>
  <c r="L616"/>
  <c r="K616"/>
  <c r="M615"/>
  <c r="L615"/>
  <c r="K615"/>
  <c r="E615"/>
  <c r="M614"/>
  <c r="L614"/>
  <c r="K614"/>
  <c r="E614"/>
  <c r="J614" s="1"/>
  <c r="M613"/>
  <c r="L613"/>
  <c r="K613"/>
  <c r="E613"/>
  <c r="I613" s="1"/>
  <c r="M612"/>
  <c r="L612"/>
  <c r="K612"/>
  <c r="M611"/>
  <c r="L611"/>
  <c r="K611"/>
  <c r="M610"/>
  <c r="L610"/>
  <c r="K610"/>
  <c r="M609"/>
  <c r="L609"/>
  <c r="K609"/>
  <c r="M608"/>
  <c r="L608"/>
  <c r="K608"/>
  <c r="M607"/>
  <c r="L607"/>
  <c r="K607"/>
  <c r="M606"/>
  <c r="L606"/>
  <c r="K606"/>
  <c r="M605"/>
  <c r="L605"/>
  <c r="K605"/>
  <c r="M603"/>
  <c r="L603"/>
  <c r="K603"/>
  <c r="M602"/>
  <c r="L602"/>
  <c r="K602"/>
  <c r="M601"/>
  <c r="L601"/>
  <c r="K601"/>
  <c r="M600"/>
  <c r="L600"/>
  <c r="K600"/>
  <c r="M599"/>
  <c r="L599"/>
  <c r="K599"/>
  <c r="M598"/>
  <c r="L598"/>
  <c r="K598"/>
  <c r="M597"/>
  <c r="L597"/>
  <c r="K597"/>
  <c r="M596"/>
  <c r="L596"/>
  <c r="K596"/>
  <c r="M595"/>
  <c r="L595"/>
  <c r="K595"/>
  <c r="E595"/>
  <c r="J595" s="1"/>
  <c r="M594"/>
  <c r="L594"/>
  <c r="K594"/>
  <c r="M593"/>
  <c r="L593"/>
  <c r="K593"/>
  <c r="M592"/>
  <c r="L592"/>
  <c r="K592"/>
  <c r="M591"/>
  <c r="L591"/>
  <c r="K591"/>
  <c r="M590"/>
  <c r="L590"/>
  <c r="K590"/>
  <c r="M589"/>
  <c r="L589"/>
  <c r="K589"/>
  <c r="M587"/>
  <c r="L587"/>
  <c r="K587"/>
  <c r="M586"/>
  <c r="L586"/>
  <c r="K586"/>
  <c r="M585"/>
  <c r="L585"/>
  <c r="K585"/>
  <c r="M584"/>
  <c r="L584"/>
  <c r="K584"/>
  <c r="M583"/>
  <c r="L583"/>
  <c r="K583"/>
  <c r="M582"/>
  <c r="L582"/>
  <c r="K582"/>
  <c r="M581"/>
  <c r="L581"/>
  <c r="K581"/>
  <c r="M580"/>
  <c r="L580"/>
  <c r="K580"/>
  <c r="E580"/>
  <c r="E579" s="1"/>
  <c r="I579" s="1"/>
  <c r="M579"/>
  <c r="L579"/>
  <c r="K579"/>
  <c r="M578"/>
  <c r="L578"/>
  <c r="K578"/>
  <c r="M577"/>
  <c r="L577"/>
  <c r="K577"/>
  <c r="M576"/>
  <c r="L576"/>
  <c r="K576"/>
  <c r="M575"/>
  <c r="L575"/>
  <c r="K575"/>
  <c r="M574"/>
  <c r="L574"/>
  <c r="K574"/>
  <c r="M573"/>
  <c r="L573"/>
  <c r="K573"/>
  <c r="M572"/>
  <c r="L572"/>
  <c r="K572"/>
  <c r="M571"/>
  <c r="L571"/>
  <c r="K571"/>
  <c r="M570"/>
  <c r="L570"/>
  <c r="K570"/>
  <c r="M569"/>
  <c r="L569"/>
  <c r="K569"/>
  <c r="M567"/>
  <c r="L567"/>
  <c r="K567"/>
  <c r="M566"/>
  <c r="L566"/>
  <c r="K566"/>
  <c r="M565"/>
  <c r="L565"/>
  <c r="K565"/>
  <c r="M564"/>
  <c r="L564"/>
  <c r="K564"/>
  <c r="M563"/>
  <c r="L563"/>
  <c r="K563"/>
  <c r="M562"/>
  <c r="L562"/>
  <c r="K562"/>
  <c r="E562"/>
  <c r="E563" s="1"/>
  <c r="M561"/>
  <c r="L561"/>
  <c r="K561"/>
  <c r="M560"/>
  <c r="L560"/>
  <c r="K560"/>
  <c r="E560"/>
  <c r="M559"/>
  <c r="L559"/>
  <c r="K559"/>
  <c r="E559"/>
  <c r="I559" s="1"/>
  <c r="M558"/>
  <c r="L558"/>
  <c r="K558"/>
  <c r="M557"/>
  <c r="L557"/>
  <c r="K557"/>
  <c r="M556"/>
  <c r="L556"/>
  <c r="K556"/>
  <c r="E556"/>
  <c r="M555"/>
  <c r="L555"/>
  <c r="K555"/>
  <c r="E555"/>
  <c r="H555" s="1"/>
  <c r="M554"/>
  <c r="L554"/>
  <c r="K554"/>
  <c r="M553"/>
  <c r="L553"/>
  <c r="K553"/>
  <c r="M552"/>
  <c r="L552"/>
  <c r="K552"/>
  <c r="M551"/>
  <c r="L551"/>
  <c r="K551"/>
  <c r="M549"/>
  <c r="L549"/>
  <c r="K549"/>
  <c r="M548"/>
  <c r="L548"/>
  <c r="K548"/>
  <c r="M547"/>
  <c r="L547"/>
  <c r="K547"/>
  <c r="M546"/>
  <c r="L546"/>
  <c r="K546"/>
  <c r="M545"/>
  <c r="L545"/>
  <c r="K545"/>
  <c r="M544"/>
  <c r="L544"/>
  <c r="K544"/>
  <c r="M543"/>
  <c r="L543"/>
  <c r="K543"/>
  <c r="M542"/>
  <c r="L542"/>
  <c r="K542"/>
  <c r="M541"/>
  <c r="L541"/>
  <c r="K541"/>
  <c r="M540"/>
  <c r="L540"/>
  <c r="K540"/>
  <c r="M539"/>
  <c r="L539"/>
  <c r="K539"/>
  <c r="E539"/>
  <c r="J539" s="1"/>
  <c r="M538"/>
  <c r="L538"/>
  <c r="K538"/>
  <c r="E538"/>
  <c r="I538" s="1"/>
  <c r="M537"/>
  <c r="L537"/>
  <c r="K537"/>
  <c r="M536"/>
  <c r="L536"/>
  <c r="K536"/>
  <c r="M535"/>
  <c r="L535"/>
  <c r="K535"/>
  <c r="M534"/>
  <c r="L534"/>
  <c r="K534"/>
  <c r="M533"/>
  <c r="L533"/>
  <c r="K533"/>
  <c r="M532"/>
  <c r="L532"/>
  <c r="K532"/>
  <c r="E532"/>
  <c r="M531"/>
  <c r="L531"/>
  <c r="K531"/>
  <c r="M530"/>
  <c r="L530"/>
  <c r="K530"/>
  <c r="M524"/>
  <c r="L524"/>
  <c r="K524"/>
  <c r="M523"/>
  <c r="L523"/>
  <c r="K523"/>
  <c r="E523"/>
  <c r="M522"/>
  <c r="L522"/>
  <c r="K522"/>
  <c r="M521"/>
  <c r="L521"/>
  <c r="K521"/>
  <c r="M514"/>
  <c r="L514"/>
  <c r="K514"/>
  <c r="M513"/>
  <c r="L513"/>
  <c r="K513"/>
  <c r="M512"/>
  <c r="L512"/>
  <c r="K512"/>
  <c r="M511"/>
  <c r="L511"/>
  <c r="K511"/>
  <c r="M510"/>
  <c r="L510"/>
  <c r="K510"/>
  <c r="M509"/>
  <c r="L509"/>
  <c r="K509"/>
  <c r="M508"/>
  <c r="L508"/>
  <c r="K508"/>
  <c r="E508"/>
  <c r="M507"/>
  <c r="L507"/>
  <c r="K507"/>
  <c r="E507"/>
  <c r="M506"/>
  <c r="L506"/>
  <c r="K506"/>
  <c r="E506"/>
  <c r="M505"/>
  <c r="L505"/>
  <c r="K505"/>
  <c r="M504"/>
  <c r="L504"/>
  <c r="K504"/>
  <c r="M503"/>
  <c r="L503"/>
  <c r="K503"/>
  <c r="E503"/>
  <c r="J503" s="1"/>
  <c r="M502"/>
  <c r="L502"/>
  <c r="K502"/>
  <c r="M501"/>
  <c r="L501"/>
  <c r="K501"/>
  <c r="M500"/>
  <c r="L500"/>
  <c r="K500"/>
  <c r="M499"/>
  <c r="L499"/>
  <c r="K499"/>
  <c r="E499"/>
  <c r="M498"/>
  <c r="L498"/>
  <c r="K498"/>
  <c r="E498"/>
  <c r="H498" s="1"/>
  <c r="M497"/>
  <c r="L497"/>
  <c r="K497"/>
  <c r="M496"/>
  <c r="L496"/>
  <c r="K496"/>
  <c r="M495"/>
  <c r="L495"/>
  <c r="K495"/>
  <c r="M494"/>
  <c r="L494"/>
  <c r="K494"/>
  <c r="M493"/>
  <c r="L493"/>
  <c r="K493"/>
  <c r="M491"/>
  <c r="L491"/>
  <c r="K491"/>
  <c r="M490"/>
  <c r="L490"/>
  <c r="K490"/>
  <c r="M489"/>
  <c r="L489"/>
  <c r="K489"/>
  <c r="M488"/>
  <c r="L488"/>
  <c r="K488"/>
  <c r="M487"/>
  <c r="L487"/>
  <c r="K487"/>
  <c r="M486"/>
  <c r="L486"/>
  <c r="K486"/>
  <c r="M485"/>
  <c r="L485"/>
  <c r="K485"/>
  <c r="M484"/>
  <c r="L484"/>
  <c r="K484"/>
  <c r="M483"/>
  <c r="L483"/>
  <c r="K483"/>
  <c r="M482"/>
  <c r="L482"/>
  <c r="K482"/>
  <c r="M481"/>
  <c r="L481"/>
  <c r="K481"/>
  <c r="E481"/>
  <c r="J481" s="1"/>
  <c r="M480"/>
  <c r="L480"/>
  <c r="K480"/>
  <c r="E480"/>
  <c r="I480" s="1"/>
  <c r="M479"/>
  <c r="L479"/>
  <c r="K479"/>
  <c r="M478"/>
  <c r="L478"/>
  <c r="K478"/>
  <c r="M477"/>
  <c r="L477"/>
  <c r="K477"/>
  <c r="M476"/>
  <c r="L476"/>
  <c r="K476"/>
  <c r="M475"/>
  <c r="L475"/>
  <c r="K475"/>
  <c r="M474"/>
  <c r="L474"/>
  <c r="K474"/>
  <c r="E474"/>
  <c r="M473"/>
  <c r="L473"/>
  <c r="K473"/>
  <c r="M472"/>
  <c r="L472"/>
  <c r="K472"/>
  <c r="M466"/>
  <c r="L466"/>
  <c r="K466"/>
  <c r="M465"/>
  <c r="L465"/>
  <c r="K465"/>
  <c r="M464"/>
  <c r="L464"/>
  <c r="K464"/>
  <c r="M463"/>
  <c r="L463"/>
  <c r="K463"/>
  <c r="E463"/>
  <c r="M462"/>
  <c r="L462"/>
  <c r="K462"/>
  <c r="E462"/>
  <c r="M461"/>
  <c r="L461"/>
  <c r="K461"/>
  <c r="M460"/>
  <c r="L460"/>
  <c r="K460"/>
  <c r="M455"/>
  <c r="L455"/>
  <c r="K455"/>
  <c r="M454"/>
  <c r="L454"/>
  <c r="K454"/>
  <c r="M453"/>
  <c r="L453"/>
  <c r="K453"/>
  <c r="M452"/>
  <c r="L452"/>
  <c r="K452"/>
  <c r="M451"/>
  <c r="L451"/>
  <c r="K451"/>
  <c r="M450"/>
  <c r="L450"/>
  <c r="K450"/>
  <c r="M449"/>
  <c r="L449"/>
  <c r="K449"/>
  <c r="M448"/>
  <c r="L448"/>
  <c r="K448"/>
  <c r="M447"/>
  <c r="L447"/>
  <c r="K447"/>
  <c r="M446"/>
  <c r="L446"/>
  <c r="K446"/>
  <c r="M445"/>
  <c r="L445"/>
  <c r="K445"/>
  <c r="M444"/>
  <c r="L444"/>
  <c r="K444"/>
  <c r="M443"/>
  <c r="L443"/>
  <c r="K443"/>
  <c r="M442"/>
  <c r="L442"/>
  <c r="K442"/>
  <c r="M441"/>
  <c r="L441"/>
  <c r="K441"/>
  <c r="M440"/>
  <c r="L440"/>
  <c r="K440"/>
  <c r="M439"/>
  <c r="L439"/>
  <c r="K439"/>
  <c r="M438"/>
  <c r="L438"/>
  <c r="K438"/>
  <c r="M437"/>
  <c r="L437"/>
  <c r="K437"/>
  <c r="M435"/>
  <c r="L435"/>
  <c r="K435"/>
  <c r="M434"/>
  <c r="L434"/>
  <c r="K434"/>
  <c r="M433"/>
  <c r="L433"/>
  <c r="K433"/>
  <c r="M432"/>
  <c r="L432"/>
  <c r="K432"/>
  <c r="M431"/>
  <c r="L431"/>
  <c r="K431"/>
  <c r="M430"/>
  <c r="L430"/>
  <c r="K430"/>
  <c r="M429"/>
  <c r="L429"/>
  <c r="K429"/>
  <c r="M428"/>
  <c r="L428"/>
  <c r="K428"/>
  <c r="M427"/>
  <c r="L427"/>
  <c r="K427"/>
  <c r="M426"/>
  <c r="L426"/>
  <c r="K426"/>
  <c r="M425"/>
  <c r="L425"/>
  <c r="K425"/>
  <c r="E425"/>
  <c r="M424"/>
  <c r="L424"/>
  <c r="K424"/>
  <c r="M423"/>
  <c r="L423"/>
  <c r="K423"/>
  <c r="M422"/>
  <c r="L422"/>
  <c r="K422"/>
  <c r="M421"/>
  <c r="L421"/>
  <c r="K421"/>
  <c r="M420"/>
  <c r="L420"/>
  <c r="K420"/>
  <c r="M419"/>
  <c r="L419"/>
  <c r="K419"/>
  <c r="E419"/>
  <c r="M418"/>
  <c r="L418"/>
  <c r="K418"/>
  <c r="E418"/>
  <c r="H418" s="1"/>
  <c r="M417"/>
  <c r="L417"/>
  <c r="K417"/>
  <c r="M416"/>
  <c r="L416"/>
  <c r="K416"/>
  <c r="M415"/>
  <c r="L415"/>
  <c r="K415"/>
  <c r="M414"/>
  <c r="L414"/>
  <c r="K414"/>
  <c r="M412"/>
  <c r="L412"/>
  <c r="K412"/>
  <c r="M411"/>
  <c r="L411"/>
  <c r="K411"/>
  <c r="M410"/>
  <c r="L410"/>
  <c r="K410"/>
  <c r="M409"/>
  <c r="L409"/>
  <c r="K409"/>
  <c r="M408"/>
  <c r="L408"/>
  <c r="K408"/>
  <c r="M407"/>
  <c r="L407"/>
  <c r="K407"/>
  <c r="M406"/>
  <c r="L406"/>
  <c r="K406"/>
  <c r="M405"/>
  <c r="L405"/>
  <c r="K405"/>
  <c r="E405"/>
  <c r="E406" s="1"/>
  <c r="M404"/>
  <c r="L404"/>
  <c r="K404"/>
  <c r="M403"/>
  <c r="L403"/>
  <c r="K403"/>
  <c r="E403"/>
  <c r="M402"/>
  <c r="L402"/>
  <c r="K402"/>
  <c r="E402"/>
  <c r="J402" s="1"/>
  <c r="M401"/>
  <c r="L401"/>
  <c r="K401"/>
  <c r="E401"/>
  <c r="I401" s="1"/>
  <c r="M400"/>
  <c r="L400"/>
  <c r="K400"/>
  <c r="M399"/>
  <c r="L399"/>
  <c r="K399"/>
  <c r="M398"/>
  <c r="L398"/>
  <c r="K398"/>
  <c r="E398"/>
  <c r="M397"/>
  <c r="L397"/>
  <c r="K397"/>
  <c r="M396"/>
  <c r="L396"/>
  <c r="K396"/>
  <c r="M395"/>
  <c r="L395"/>
  <c r="K395"/>
  <c r="M394"/>
  <c r="L394"/>
  <c r="K394"/>
  <c r="M393"/>
  <c r="L393"/>
  <c r="K393"/>
  <c r="M392"/>
  <c r="L392"/>
  <c r="K392"/>
  <c r="K391" s="1"/>
  <c r="M390"/>
  <c r="L390"/>
  <c r="K390"/>
  <c r="M389"/>
  <c r="L389"/>
  <c r="K389"/>
  <c r="M388"/>
  <c r="L388"/>
  <c r="K388"/>
  <c r="M387"/>
  <c r="L387"/>
  <c r="K387"/>
  <c r="M386"/>
  <c r="L386"/>
  <c r="K386"/>
  <c r="M385"/>
  <c r="L385"/>
  <c r="K385"/>
  <c r="M384"/>
  <c r="L384"/>
  <c r="K384"/>
  <c r="M383"/>
  <c r="L383"/>
  <c r="K383"/>
  <c r="M382"/>
  <c r="L382"/>
  <c r="K382"/>
  <c r="M381"/>
  <c r="L381"/>
  <c r="K381"/>
  <c r="M380"/>
  <c r="L380"/>
  <c r="K380"/>
  <c r="E380"/>
  <c r="J380" s="1"/>
  <c r="M379"/>
  <c r="L379"/>
  <c r="K379"/>
  <c r="E379"/>
  <c r="I379" s="1"/>
  <c r="M378"/>
  <c r="L378"/>
  <c r="K378"/>
  <c r="M377"/>
  <c r="L377"/>
  <c r="K377"/>
  <c r="E377"/>
  <c r="M376"/>
  <c r="L376"/>
  <c r="K376"/>
  <c r="M375"/>
  <c r="L375"/>
  <c r="K375"/>
  <c r="M374"/>
  <c r="L374"/>
  <c r="K374"/>
  <c r="M373"/>
  <c r="L373"/>
  <c r="K373"/>
  <c r="M372"/>
  <c r="L372"/>
  <c r="K372"/>
  <c r="M371"/>
  <c r="L371"/>
  <c r="K371"/>
  <c r="M364"/>
  <c r="L364"/>
  <c r="K364"/>
  <c r="M363"/>
  <c r="L363"/>
  <c r="K363"/>
  <c r="M362"/>
  <c r="L362"/>
  <c r="K362"/>
  <c r="M361"/>
  <c r="L361"/>
  <c r="K361"/>
  <c r="M360"/>
  <c r="L360"/>
  <c r="K360"/>
  <c r="M359"/>
  <c r="L359"/>
  <c r="K359"/>
  <c r="M358"/>
  <c r="L358"/>
  <c r="K358"/>
  <c r="M357"/>
  <c r="L357"/>
  <c r="K357"/>
  <c r="E357"/>
  <c r="M356"/>
  <c r="L356"/>
  <c r="K356"/>
  <c r="E356"/>
  <c r="M355"/>
  <c r="L355"/>
  <c r="K355"/>
  <c r="M354"/>
  <c r="L354"/>
  <c r="K354"/>
  <c r="M353"/>
  <c r="L353"/>
  <c r="K353"/>
  <c r="E353"/>
  <c r="J353" s="1"/>
  <c r="M352"/>
  <c r="L352"/>
  <c r="K352"/>
  <c r="E352"/>
  <c r="I352" s="1"/>
  <c r="M351"/>
  <c r="L351"/>
  <c r="K351"/>
  <c r="M350"/>
  <c r="L350"/>
  <c r="K350"/>
  <c r="M349"/>
  <c r="L349"/>
  <c r="K349"/>
  <c r="M348"/>
  <c r="L348"/>
  <c r="K348"/>
  <c r="E348"/>
  <c r="M347"/>
  <c r="L347"/>
  <c r="K347"/>
  <c r="E347"/>
  <c r="G347" s="1"/>
  <c r="M345"/>
  <c r="L345"/>
  <c r="K345"/>
  <c r="M344"/>
  <c r="L344"/>
  <c r="K344"/>
  <c r="M343"/>
  <c r="L343"/>
  <c r="K343"/>
  <c r="M342"/>
  <c r="L342"/>
  <c r="K342"/>
  <c r="M341"/>
  <c r="L341"/>
  <c r="K341"/>
  <c r="M340"/>
  <c r="L340"/>
  <c r="K340"/>
  <c r="M339"/>
  <c r="L339"/>
  <c r="K339"/>
  <c r="E339"/>
  <c r="J339" s="1"/>
  <c r="M338"/>
  <c r="L338"/>
  <c r="K338"/>
  <c r="E338"/>
  <c r="I338" s="1"/>
  <c r="M337"/>
  <c r="L337"/>
  <c r="K337"/>
  <c r="M336"/>
  <c r="L336"/>
  <c r="K336"/>
  <c r="M335"/>
  <c r="L335"/>
  <c r="K335"/>
  <c r="M334"/>
  <c r="L334"/>
  <c r="K334"/>
  <c r="M333"/>
  <c r="L333"/>
  <c r="K333"/>
  <c r="M332"/>
  <c r="L332"/>
  <c r="K332"/>
  <c r="M331"/>
  <c r="L331"/>
  <c r="K331"/>
  <c r="M330"/>
  <c r="L330"/>
  <c r="K330"/>
  <c r="M329"/>
  <c r="L329"/>
  <c r="K329"/>
  <c r="M325"/>
  <c r="L325"/>
  <c r="K325"/>
  <c r="M324"/>
  <c r="L324"/>
  <c r="K324"/>
  <c r="M323"/>
  <c r="L323"/>
  <c r="K323"/>
  <c r="M322"/>
  <c r="L322"/>
  <c r="K322"/>
  <c r="M321"/>
  <c r="L321"/>
  <c r="K321"/>
  <c r="E321"/>
  <c r="M320"/>
  <c r="L320"/>
  <c r="K320"/>
  <c r="E320"/>
  <c r="M319"/>
  <c r="L319"/>
  <c r="K319"/>
  <c r="M318"/>
  <c r="L318"/>
  <c r="K318"/>
  <c r="M316"/>
  <c r="L316"/>
  <c r="K316"/>
  <c r="M315"/>
  <c r="L315"/>
  <c r="K315"/>
  <c r="M314"/>
  <c r="L314"/>
  <c r="K314"/>
  <c r="M313"/>
  <c r="L313"/>
  <c r="K313"/>
  <c r="M312"/>
  <c r="L312"/>
  <c r="K312"/>
  <c r="M311"/>
  <c r="L311"/>
  <c r="K311"/>
  <c r="M310"/>
  <c r="L310"/>
  <c r="K310"/>
  <c r="M309"/>
  <c r="L309"/>
  <c r="K309"/>
  <c r="M308"/>
  <c r="L308"/>
  <c r="K308"/>
  <c r="M307"/>
  <c r="L307"/>
  <c r="K307"/>
  <c r="M306"/>
  <c r="L306"/>
  <c r="K306"/>
  <c r="M305"/>
  <c r="L305"/>
  <c r="K305"/>
  <c r="M304"/>
  <c r="L304"/>
  <c r="K304"/>
  <c r="M303"/>
  <c r="L303"/>
  <c r="K303"/>
  <c r="M301"/>
  <c r="L301"/>
  <c r="K301"/>
  <c r="M300"/>
  <c r="L300"/>
  <c r="K300"/>
  <c r="M299"/>
  <c r="L299"/>
  <c r="K299"/>
  <c r="M298"/>
  <c r="L298"/>
  <c r="K298"/>
  <c r="M297"/>
  <c r="L297"/>
  <c r="K297"/>
  <c r="M296"/>
  <c r="L296"/>
  <c r="K296"/>
  <c r="M295"/>
  <c r="L295"/>
  <c r="K295"/>
  <c r="E295"/>
  <c r="M294"/>
  <c r="L294"/>
  <c r="K294"/>
  <c r="E294"/>
  <c r="M293"/>
  <c r="L293"/>
  <c r="K293"/>
  <c r="M292"/>
  <c r="L292"/>
  <c r="K292"/>
  <c r="M291"/>
  <c r="L291"/>
  <c r="K291"/>
  <c r="E291"/>
  <c r="J291" s="1"/>
  <c r="M290"/>
  <c r="L290"/>
  <c r="K290"/>
  <c r="M289"/>
  <c r="L289"/>
  <c r="K289"/>
  <c r="M288"/>
  <c r="L288"/>
  <c r="K288"/>
  <c r="M287"/>
  <c r="L287"/>
  <c r="K287"/>
  <c r="M286"/>
  <c r="L286"/>
  <c r="K286"/>
  <c r="M285"/>
  <c r="L285"/>
  <c r="K285"/>
  <c r="M277"/>
  <c r="L277"/>
  <c r="K277"/>
  <c r="M276"/>
  <c r="L276"/>
  <c r="K276"/>
  <c r="M275"/>
  <c r="L275"/>
  <c r="K275"/>
  <c r="M274"/>
  <c r="L274"/>
  <c r="K274"/>
  <c r="M273"/>
  <c r="L273"/>
  <c r="K273"/>
  <c r="M272"/>
  <c r="L272"/>
  <c r="K272"/>
  <c r="M271"/>
  <c r="L271"/>
  <c r="K271"/>
  <c r="M270"/>
  <c r="L270"/>
  <c r="K270"/>
  <c r="M269"/>
  <c r="L269"/>
  <c r="K269"/>
  <c r="M268"/>
  <c r="L268"/>
  <c r="K268"/>
  <c r="M267"/>
  <c r="L267"/>
  <c r="K267"/>
  <c r="M266"/>
  <c r="L266"/>
  <c r="K266"/>
  <c r="M265"/>
  <c r="L265"/>
  <c r="K265"/>
  <c r="E265"/>
  <c r="M264"/>
  <c r="L264"/>
  <c r="K264"/>
  <c r="M263"/>
  <c r="L263"/>
  <c r="K263"/>
  <c r="M262"/>
  <c r="L262"/>
  <c r="K262"/>
  <c r="M261"/>
  <c r="L261"/>
  <c r="K261"/>
  <c r="M260"/>
  <c r="L260"/>
  <c r="K260"/>
  <c r="M259"/>
  <c r="L259"/>
  <c r="K259"/>
  <c r="M257"/>
  <c r="L257"/>
  <c r="K257"/>
  <c r="M256"/>
  <c r="L256"/>
  <c r="K256"/>
  <c r="M255"/>
  <c r="L255"/>
  <c r="K255"/>
  <c r="M254"/>
  <c r="L254"/>
  <c r="K254"/>
  <c r="M253"/>
  <c r="L253"/>
  <c r="K253"/>
  <c r="M252"/>
  <c r="L252"/>
  <c r="K252"/>
  <c r="M251"/>
  <c r="L251"/>
  <c r="K251"/>
  <c r="M250"/>
  <c r="L250"/>
  <c r="K250"/>
  <c r="M249"/>
  <c r="L249"/>
  <c r="K249"/>
  <c r="M248"/>
  <c r="L248"/>
  <c r="K248"/>
  <c r="M247"/>
  <c r="L247"/>
  <c r="K247"/>
  <c r="M246"/>
  <c r="L246"/>
  <c r="K246"/>
  <c r="M245"/>
  <c r="L245"/>
  <c r="K245"/>
  <c r="E245"/>
  <c r="M244"/>
  <c r="L244"/>
  <c r="K244"/>
  <c r="M243"/>
  <c r="L243"/>
  <c r="K243"/>
  <c r="M242"/>
  <c r="L242"/>
  <c r="K242"/>
  <c r="M241"/>
  <c r="L241"/>
  <c r="K241"/>
  <c r="M240"/>
  <c r="L240"/>
  <c r="K240"/>
  <c r="M239"/>
  <c r="L239"/>
  <c r="K239"/>
  <c r="M237"/>
  <c r="L237"/>
  <c r="K237"/>
  <c r="M236"/>
  <c r="L236"/>
  <c r="K236"/>
  <c r="M235"/>
  <c r="L235"/>
  <c r="K235"/>
  <c r="M234"/>
  <c r="L234"/>
  <c r="K234"/>
  <c r="M233"/>
  <c r="L233"/>
  <c r="K233"/>
  <c r="M232"/>
  <c r="L232"/>
  <c r="K232"/>
  <c r="M231"/>
  <c r="L231"/>
  <c r="K231"/>
  <c r="E231"/>
  <c r="M230"/>
  <c r="L230"/>
  <c r="K230"/>
  <c r="M229"/>
  <c r="L229"/>
  <c r="K229"/>
  <c r="M228"/>
  <c r="L228"/>
  <c r="K228"/>
  <c r="M227"/>
  <c r="L227"/>
  <c r="K227"/>
  <c r="M226"/>
  <c r="L226"/>
  <c r="K226"/>
  <c r="M225"/>
  <c r="L225"/>
  <c r="K225"/>
  <c r="M224"/>
  <c r="L224"/>
  <c r="K224"/>
  <c r="M223"/>
  <c r="L223"/>
  <c r="K223"/>
  <c r="M222"/>
  <c r="L222"/>
  <c r="K222"/>
  <c r="M221"/>
  <c r="L221"/>
  <c r="K221"/>
  <c r="M220"/>
  <c r="L220"/>
  <c r="K220"/>
  <c r="M219"/>
  <c r="L219"/>
  <c r="K219"/>
  <c r="E219"/>
  <c r="M218"/>
  <c r="L218"/>
  <c r="K218"/>
  <c r="E218"/>
  <c r="G218" s="1"/>
  <c r="M216"/>
  <c r="L216"/>
  <c r="K216"/>
  <c r="M215"/>
  <c r="L215"/>
  <c r="K215"/>
  <c r="M214"/>
  <c r="L214"/>
  <c r="K214"/>
  <c r="M213"/>
  <c r="L213"/>
  <c r="K213"/>
  <c r="M212"/>
  <c r="L212"/>
  <c r="K212"/>
  <c r="M211"/>
  <c r="L211"/>
  <c r="K211"/>
  <c r="M210"/>
  <c r="L210"/>
  <c r="K210"/>
  <c r="E210"/>
  <c r="M209"/>
  <c r="L209"/>
  <c r="K209"/>
  <c r="E209"/>
  <c r="M208"/>
  <c r="L208"/>
  <c r="K208"/>
  <c r="E208"/>
  <c r="M207"/>
  <c r="L207"/>
  <c r="K207"/>
  <c r="M206"/>
  <c r="L206"/>
  <c r="K206"/>
  <c r="M205"/>
  <c r="L205"/>
  <c r="K205"/>
  <c r="E205"/>
  <c r="J205" s="1"/>
  <c r="M204"/>
  <c r="L204"/>
  <c r="K204"/>
  <c r="E204"/>
  <c r="I204" s="1"/>
  <c r="M203"/>
  <c r="L203"/>
  <c r="K203"/>
  <c r="M202"/>
  <c r="L202"/>
  <c r="K202"/>
  <c r="M201"/>
  <c r="L201"/>
  <c r="K201"/>
  <c r="M200"/>
  <c r="L200"/>
  <c r="K200"/>
  <c r="M199"/>
  <c r="L199"/>
  <c r="K199"/>
  <c r="M198"/>
  <c r="L198"/>
  <c r="K198"/>
  <c r="M197"/>
  <c r="L197"/>
  <c r="K197"/>
  <c r="M196"/>
  <c r="L196"/>
  <c r="K196"/>
  <c r="E196"/>
  <c r="M195"/>
  <c r="L195"/>
  <c r="K195"/>
  <c r="E195"/>
  <c r="G195" s="1"/>
  <c r="M193"/>
  <c r="L193"/>
  <c r="K193"/>
  <c r="M192"/>
  <c r="L192"/>
  <c r="K192"/>
  <c r="M191"/>
  <c r="L191"/>
  <c r="K191"/>
  <c r="M190"/>
  <c r="L190"/>
  <c r="K190"/>
  <c r="M189"/>
  <c r="L189"/>
  <c r="K189"/>
  <c r="M188"/>
  <c r="L188"/>
  <c r="K188"/>
  <c r="M187"/>
  <c r="L187"/>
  <c r="K187"/>
  <c r="M186"/>
  <c r="L186"/>
  <c r="K186"/>
  <c r="M185"/>
  <c r="L185"/>
  <c r="K185"/>
  <c r="M184"/>
  <c r="L184"/>
  <c r="K184"/>
  <c r="M183"/>
  <c r="L183"/>
  <c r="K183"/>
  <c r="E183"/>
  <c r="J183" s="1"/>
  <c r="M182"/>
  <c r="L182"/>
  <c r="K182"/>
  <c r="E182"/>
  <c r="I182" s="1"/>
  <c r="M181"/>
  <c r="L181"/>
  <c r="K181"/>
  <c r="M180"/>
  <c r="L180"/>
  <c r="K180"/>
  <c r="E180"/>
  <c r="M179"/>
  <c r="L179"/>
  <c r="K179"/>
  <c r="M178"/>
  <c r="L178"/>
  <c r="K178"/>
  <c r="M177"/>
  <c r="L177"/>
  <c r="K177"/>
  <c r="M176"/>
  <c r="L176"/>
  <c r="K176"/>
  <c r="M175"/>
  <c r="L175"/>
  <c r="K175"/>
  <c r="M174"/>
  <c r="L174"/>
  <c r="K174"/>
  <c r="M171"/>
  <c r="L171"/>
  <c r="K171"/>
  <c r="M170"/>
  <c r="L170"/>
  <c r="K170"/>
  <c r="M169"/>
  <c r="L169"/>
  <c r="K169"/>
  <c r="M168"/>
  <c r="L168"/>
  <c r="K168"/>
  <c r="M167"/>
  <c r="L167"/>
  <c r="K167"/>
  <c r="M166"/>
  <c r="L166"/>
  <c r="K166"/>
  <c r="M165"/>
  <c r="L165"/>
  <c r="K165"/>
  <c r="E165"/>
  <c r="M164"/>
  <c r="L164"/>
  <c r="K164"/>
  <c r="M163"/>
  <c r="L163"/>
  <c r="K163"/>
  <c r="M162"/>
  <c r="L162"/>
  <c r="K162"/>
  <c r="M161"/>
  <c r="L161"/>
  <c r="K161"/>
  <c r="E161"/>
  <c r="M160"/>
  <c r="L160"/>
  <c r="K160"/>
  <c r="E160"/>
  <c r="J160" s="1"/>
  <c r="M159"/>
  <c r="L159"/>
  <c r="K159"/>
  <c r="E159"/>
  <c r="I159" s="1"/>
  <c r="M158"/>
  <c r="L158"/>
  <c r="K158"/>
  <c r="M157"/>
  <c r="L157"/>
  <c r="K157"/>
  <c r="E157"/>
  <c r="M156"/>
  <c r="L156"/>
  <c r="K156"/>
  <c r="E156"/>
  <c r="M155"/>
  <c r="L155"/>
  <c r="K155"/>
  <c r="E155"/>
  <c r="H155" s="1"/>
  <c r="M154"/>
  <c r="L154"/>
  <c r="K154"/>
  <c r="E154"/>
  <c r="M153"/>
  <c r="L153"/>
  <c r="K153"/>
  <c r="E153"/>
  <c r="M152"/>
  <c r="L152"/>
  <c r="K152"/>
  <c r="E152"/>
  <c r="M151"/>
  <c r="L151"/>
  <c r="K151"/>
  <c r="E151"/>
  <c r="G151" s="1"/>
  <c r="M149"/>
  <c r="L149"/>
  <c r="K149"/>
  <c r="M148"/>
  <c r="L148"/>
  <c r="K148"/>
  <c r="M147"/>
  <c r="L147"/>
  <c r="K147"/>
  <c r="M146"/>
  <c r="L146"/>
  <c r="K146"/>
  <c r="M145"/>
  <c r="L145"/>
  <c r="K145"/>
  <c r="M144"/>
  <c r="L144"/>
  <c r="K144"/>
  <c r="M143"/>
  <c r="L143"/>
  <c r="K143"/>
  <c r="E143"/>
  <c r="M142"/>
  <c r="L142"/>
  <c r="K142"/>
  <c r="M141"/>
  <c r="L141"/>
  <c r="K141"/>
  <c r="M140"/>
  <c r="L140"/>
  <c r="K140"/>
  <c r="M139"/>
  <c r="L139"/>
  <c r="K139"/>
  <c r="E139"/>
  <c r="M138"/>
  <c r="L138"/>
  <c r="K138"/>
  <c r="M137"/>
  <c r="L137"/>
  <c r="K137"/>
  <c r="M135"/>
  <c r="L135"/>
  <c r="K135"/>
  <c r="M134"/>
  <c r="L134"/>
  <c r="K134"/>
  <c r="M133"/>
  <c r="L133"/>
  <c r="K133"/>
  <c r="M132"/>
  <c r="L132"/>
  <c r="K132"/>
  <c r="M131"/>
  <c r="L131"/>
  <c r="K131"/>
  <c r="M130"/>
  <c r="L130"/>
  <c r="K130"/>
  <c r="M129"/>
  <c r="L129"/>
  <c r="K129"/>
  <c r="M128"/>
  <c r="L128"/>
  <c r="K128"/>
  <c r="M127"/>
  <c r="L127"/>
  <c r="K127"/>
  <c r="M126"/>
  <c r="L126"/>
  <c r="K126"/>
  <c r="M125"/>
  <c r="L125"/>
  <c r="K125"/>
  <c r="E125"/>
  <c r="J125" s="1"/>
  <c r="M124"/>
  <c r="L124"/>
  <c r="K124"/>
  <c r="E124"/>
  <c r="I124" s="1"/>
  <c r="M123"/>
  <c r="L123"/>
  <c r="K123"/>
  <c r="M122"/>
  <c r="L122"/>
  <c r="K122"/>
  <c r="E122"/>
  <c r="M121"/>
  <c r="L121"/>
  <c r="K121"/>
  <c r="M120"/>
  <c r="L120"/>
  <c r="K120"/>
  <c r="M119"/>
  <c r="L119"/>
  <c r="K119"/>
  <c r="M118"/>
  <c r="L118"/>
  <c r="K118"/>
  <c r="M117"/>
  <c r="L117"/>
  <c r="K117"/>
  <c r="M116"/>
  <c r="L116"/>
  <c r="K116"/>
  <c r="M114"/>
  <c r="L114"/>
  <c r="K114"/>
  <c r="M113"/>
  <c r="L113"/>
  <c r="K113"/>
  <c r="M112"/>
  <c r="L112"/>
  <c r="K112"/>
  <c r="M111"/>
  <c r="L111"/>
  <c r="K111"/>
  <c r="M110"/>
  <c r="L110"/>
  <c r="K110"/>
  <c r="M109"/>
  <c r="L109"/>
  <c r="K109"/>
  <c r="M108"/>
  <c r="L108"/>
  <c r="K108"/>
  <c r="M107"/>
  <c r="L107"/>
  <c r="K107"/>
  <c r="M106"/>
  <c r="L106"/>
  <c r="K106"/>
  <c r="M105"/>
  <c r="L105"/>
  <c r="K105"/>
  <c r="M104"/>
  <c r="L104"/>
  <c r="K104"/>
  <c r="M103"/>
  <c r="L103"/>
  <c r="K103"/>
  <c r="M102"/>
  <c r="L102"/>
  <c r="K102"/>
  <c r="E102"/>
  <c r="M101"/>
  <c r="L101"/>
  <c r="K101"/>
  <c r="M100"/>
  <c r="L100"/>
  <c r="K100"/>
  <c r="M99"/>
  <c r="L99"/>
  <c r="K99"/>
  <c r="M98"/>
  <c r="L98"/>
  <c r="K98"/>
  <c r="M97"/>
  <c r="L97"/>
  <c r="K97"/>
  <c r="M96"/>
  <c r="L96"/>
  <c r="K96"/>
  <c r="M94"/>
  <c r="L94"/>
  <c r="K94"/>
  <c r="M93"/>
  <c r="L93"/>
  <c r="K93"/>
  <c r="M92"/>
  <c r="L92"/>
  <c r="K92"/>
  <c r="M91"/>
  <c r="L91"/>
  <c r="K91"/>
  <c r="M90"/>
  <c r="L90"/>
  <c r="K90"/>
  <c r="M89"/>
  <c r="L89"/>
  <c r="K89"/>
  <c r="M88"/>
  <c r="L88"/>
  <c r="K88"/>
  <c r="M87"/>
  <c r="L87"/>
  <c r="K87"/>
  <c r="M86"/>
  <c r="L86"/>
  <c r="K86"/>
  <c r="M85"/>
  <c r="L85"/>
  <c r="K85"/>
  <c r="M84"/>
  <c r="L84"/>
  <c r="K84"/>
  <c r="E84"/>
  <c r="J84" s="1"/>
  <c r="M83"/>
  <c r="L83"/>
  <c r="K83"/>
  <c r="E83"/>
  <c r="I83" s="1"/>
  <c r="M82"/>
  <c r="L82"/>
  <c r="K82"/>
  <c r="M81"/>
  <c r="L81"/>
  <c r="K81"/>
  <c r="E81"/>
  <c r="M80"/>
  <c r="L80"/>
  <c r="K80"/>
  <c r="M79"/>
  <c r="L79"/>
  <c r="K79"/>
  <c r="M78"/>
  <c r="L78"/>
  <c r="K78"/>
  <c r="M77"/>
  <c r="L77"/>
  <c r="K77"/>
  <c r="M76"/>
  <c r="L76"/>
  <c r="K76"/>
  <c r="M75"/>
  <c r="L75"/>
  <c r="K75"/>
  <c r="M73"/>
  <c r="L73"/>
  <c r="K73"/>
  <c r="M72"/>
  <c r="L72"/>
  <c r="K72"/>
  <c r="M71"/>
  <c r="L71"/>
  <c r="K71"/>
  <c r="M70"/>
  <c r="L70"/>
  <c r="K70"/>
  <c r="M69"/>
  <c r="L69"/>
  <c r="K69"/>
  <c r="M68"/>
  <c r="L68"/>
  <c r="K68"/>
  <c r="E68"/>
  <c r="J68" s="1"/>
  <c r="M67"/>
  <c r="L67"/>
  <c r="K67"/>
  <c r="E67"/>
  <c r="I67" s="1"/>
  <c r="M66"/>
  <c r="L66"/>
  <c r="K66"/>
  <c r="M65"/>
  <c r="L65"/>
  <c r="K65"/>
  <c r="M64"/>
  <c r="L64"/>
  <c r="K64"/>
  <c r="M63"/>
  <c r="L63"/>
  <c r="K63"/>
  <c r="M62"/>
  <c r="L62"/>
  <c r="K62"/>
  <c r="M61"/>
  <c r="L61"/>
  <c r="K61"/>
  <c r="M60"/>
  <c r="L60"/>
  <c r="K60"/>
  <c r="M59"/>
  <c r="L59"/>
  <c r="K59"/>
  <c r="M58"/>
  <c r="L58"/>
  <c r="K58"/>
  <c r="M57"/>
  <c r="L57"/>
  <c r="K57"/>
  <c r="M56"/>
  <c r="L56"/>
  <c r="K56"/>
  <c r="E56"/>
  <c r="M55"/>
  <c r="L55"/>
  <c r="K55"/>
  <c r="M54"/>
  <c r="L54"/>
  <c r="K54"/>
  <c r="M52"/>
  <c r="L52"/>
  <c r="K52"/>
  <c r="M51"/>
  <c r="L51"/>
  <c r="K51"/>
  <c r="M50"/>
  <c r="L50"/>
  <c r="K50"/>
  <c r="M49"/>
  <c r="L49"/>
  <c r="K49"/>
  <c r="M48"/>
  <c r="L48"/>
  <c r="K48"/>
  <c r="M47"/>
  <c r="L47"/>
  <c r="K47"/>
  <c r="M46"/>
  <c r="L46"/>
  <c r="K46"/>
  <c r="M45"/>
  <c r="L45"/>
  <c r="K45"/>
  <c r="E45"/>
  <c r="M44"/>
  <c r="L44"/>
  <c r="K44"/>
  <c r="E44"/>
  <c r="E46" s="1"/>
  <c r="M43"/>
  <c r="L43"/>
  <c r="K43"/>
  <c r="M42"/>
  <c r="L42"/>
  <c r="K42"/>
  <c r="M41"/>
  <c r="L41"/>
  <c r="K41"/>
  <c r="E41"/>
  <c r="J41" s="1"/>
  <c r="M40"/>
  <c r="L40"/>
  <c r="K40"/>
  <c r="E40"/>
  <c r="I40" s="1"/>
  <c r="M39"/>
  <c r="L39"/>
  <c r="K39"/>
  <c r="M38"/>
  <c r="L38"/>
  <c r="K38"/>
  <c r="M37"/>
  <c r="L37"/>
  <c r="K37"/>
  <c r="M36"/>
  <c r="L36"/>
  <c r="K36"/>
  <c r="E36"/>
  <c r="M35"/>
  <c r="L35"/>
  <c r="K35"/>
  <c r="E35"/>
  <c r="G35" s="1"/>
  <c r="M33"/>
  <c r="L33"/>
  <c r="K33"/>
  <c r="M32"/>
  <c r="L32"/>
  <c r="K32"/>
  <c r="M31"/>
  <c r="L31"/>
  <c r="K31"/>
  <c r="M30"/>
  <c r="L30"/>
  <c r="K30"/>
  <c r="M29"/>
  <c r="L29"/>
  <c r="K29"/>
  <c r="M28"/>
  <c r="L28"/>
  <c r="K28"/>
  <c r="M27"/>
  <c r="L27"/>
  <c r="K27"/>
  <c r="M26"/>
  <c r="L26"/>
  <c r="K26"/>
  <c r="M25"/>
  <c r="L25"/>
  <c r="K25"/>
  <c r="M24"/>
  <c r="L24"/>
  <c r="K24"/>
  <c r="M23"/>
  <c r="L23"/>
  <c r="K23"/>
  <c r="E23"/>
  <c r="J23" s="1"/>
  <c r="M22"/>
  <c r="L22"/>
  <c r="K22"/>
  <c r="E22"/>
  <c r="I22" s="1"/>
  <c r="M21"/>
  <c r="L21"/>
  <c r="K21"/>
  <c r="M20"/>
  <c r="L20"/>
  <c r="K20"/>
  <c r="M19"/>
  <c r="L19"/>
  <c r="K19"/>
  <c r="M18"/>
  <c r="L18"/>
  <c r="K18"/>
  <c r="M17"/>
  <c r="L17"/>
  <c r="K17"/>
  <c r="M16"/>
  <c r="L16"/>
  <c r="K16"/>
  <c r="M15"/>
  <c r="L15"/>
  <c r="K15"/>
  <c r="M14"/>
  <c r="L14"/>
  <c r="K14"/>
  <c r="I88" i="3"/>
  <c r="H88"/>
  <c r="H100" s="1"/>
  <c r="I86"/>
  <c r="H86"/>
  <c r="H99" s="1"/>
  <c r="I84"/>
  <c r="H84"/>
  <c r="H98" s="1"/>
  <c r="I82"/>
  <c r="H82"/>
  <c r="H97" s="1"/>
  <c r="I80"/>
  <c r="H80"/>
  <c r="H96" s="1"/>
  <c r="I78"/>
  <c r="H78"/>
  <c r="H95" s="1"/>
  <c r="I76"/>
  <c r="H76"/>
  <c r="H94" s="1"/>
  <c r="I74"/>
  <c r="H74"/>
  <c r="H93" s="1"/>
  <c r="I72"/>
  <c r="H72"/>
  <c r="H92" s="1"/>
  <c r="I70"/>
  <c r="H70"/>
  <c r="H91" s="1"/>
  <c r="I68"/>
  <c r="H68"/>
  <c r="H90" s="1"/>
  <c r="I66"/>
  <c r="H66"/>
  <c r="H89" s="1"/>
  <c r="H64" s="1"/>
  <c r="I115"/>
  <c r="I112"/>
  <c r="H111"/>
  <c r="I111" s="1"/>
  <c r="H110"/>
  <c r="I110" s="1"/>
  <c r="H109"/>
  <c r="I109" s="1"/>
  <c r="I101"/>
  <c r="I44"/>
  <c r="I56" s="1"/>
  <c r="H44"/>
  <c r="I43"/>
  <c r="H43"/>
  <c r="H56" s="1"/>
  <c r="I41"/>
  <c r="I55" s="1"/>
  <c r="H41"/>
  <c r="I40"/>
  <c r="H40"/>
  <c r="H55" s="1"/>
  <c r="I38"/>
  <c r="I54" s="1"/>
  <c r="H38"/>
  <c r="I37"/>
  <c r="H37"/>
  <c r="H54" s="1"/>
  <c r="I35"/>
  <c r="I53" s="1"/>
  <c r="H35"/>
  <c r="I34"/>
  <c r="H34"/>
  <c r="H53" s="1"/>
  <c r="I32"/>
  <c r="I52" s="1"/>
  <c r="H32"/>
  <c r="I31"/>
  <c r="H31"/>
  <c r="H52" s="1"/>
  <c r="I29"/>
  <c r="I51" s="1"/>
  <c r="H29"/>
  <c r="I28"/>
  <c r="H28"/>
  <c r="H51" s="1"/>
  <c r="I26"/>
  <c r="I50" s="1"/>
  <c r="H26"/>
  <c r="I25"/>
  <c r="H25"/>
  <c r="H50" s="1"/>
  <c r="I23"/>
  <c r="I49" s="1"/>
  <c r="H23"/>
  <c r="I22"/>
  <c r="H22"/>
  <c r="H49" s="1"/>
  <c r="I20"/>
  <c r="I48" s="1"/>
  <c r="H20"/>
  <c r="I19"/>
  <c r="H19"/>
  <c r="H48" s="1"/>
  <c r="I17"/>
  <c r="I47" s="1"/>
  <c r="H17"/>
  <c r="I16"/>
  <c r="H16"/>
  <c r="H47" s="1"/>
  <c r="I14"/>
  <c r="I46" s="1"/>
  <c r="H14"/>
  <c r="I13"/>
  <c r="H13"/>
  <c r="H46" s="1"/>
  <c r="I11"/>
  <c r="I45" s="1"/>
  <c r="H11"/>
  <c r="I10"/>
  <c r="H10"/>
  <c r="H45" s="1"/>
  <c r="H8" s="1"/>
  <c r="H7" s="1"/>
  <c r="AO13" i="5" l="1"/>
  <c r="AM13"/>
  <c r="AK13"/>
  <c r="AI13"/>
  <c r="AG13"/>
  <c r="AE13"/>
  <c r="AC13"/>
  <c r="AA13"/>
  <c r="Y13"/>
  <c r="AN13"/>
  <c r="AL13"/>
  <c r="AJ13"/>
  <c r="AH13"/>
  <c r="AF13"/>
  <c r="AD13"/>
  <c r="AB13"/>
  <c r="Z13"/>
  <c r="X13"/>
  <c r="AN18"/>
  <c r="AL18"/>
  <c r="AJ18"/>
  <c r="AH18"/>
  <c r="AF18"/>
  <c r="AD18"/>
  <c r="AB18"/>
  <c r="Z18"/>
  <c r="X18"/>
  <c r="AO18"/>
  <c r="AM18"/>
  <c r="AK18"/>
  <c r="AI18"/>
  <c r="AG18"/>
  <c r="AE18"/>
  <c r="AC18"/>
  <c r="AA18"/>
  <c r="Y18"/>
  <c r="AN19"/>
  <c r="AL19"/>
  <c r="AJ19"/>
  <c r="AH19"/>
  <c r="AF19"/>
  <c r="AD19"/>
  <c r="AB19"/>
  <c r="Z19"/>
  <c r="X19"/>
  <c r="AO19"/>
  <c r="AM19"/>
  <c r="AK19"/>
  <c r="AI19"/>
  <c r="AG19"/>
  <c r="AE19"/>
  <c r="AC19"/>
  <c r="AA19"/>
  <c r="Y19"/>
  <c r="AN20"/>
  <c r="AL20"/>
  <c r="AJ20"/>
  <c r="AH20"/>
  <c r="AF20"/>
  <c r="AD20"/>
  <c r="AB20"/>
  <c r="Z20"/>
  <c r="X20"/>
  <c r="AO20"/>
  <c r="AM20"/>
  <c r="AK20"/>
  <c r="AI20"/>
  <c r="AG20"/>
  <c r="AE20"/>
  <c r="AC20"/>
  <c r="AA20"/>
  <c r="Y20"/>
  <c r="AN12"/>
  <c r="AL12"/>
  <c r="AJ12"/>
  <c r="AH12"/>
  <c r="AF12"/>
  <c r="AD12"/>
  <c r="AB12"/>
  <c r="Z12"/>
  <c r="X12"/>
  <c r="AO12"/>
  <c r="AM12"/>
  <c r="AK12"/>
  <c r="AI12"/>
  <c r="AG12"/>
  <c r="AE12"/>
  <c r="AC12"/>
  <c r="AA12"/>
  <c r="Y12"/>
  <c r="I61" i="6"/>
  <c r="I64" s="1"/>
  <c r="I29"/>
  <c r="I36" s="1"/>
  <c r="I117"/>
  <c r="I123" s="1"/>
  <c r="I129"/>
  <c r="I136" s="1"/>
  <c r="I37"/>
  <c r="I44" s="1"/>
  <c r="I53"/>
  <c r="I60" s="1"/>
  <c r="I65"/>
  <c r="I72" s="1"/>
  <c r="I93"/>
  <c r="I100" s="1"/>
  <c r="I109"/>
  <c r="I116" s="1"/>
  <c r="I81"/>
  <c r="I88" s="1"/>
  <c r="I10"/>
  <c r="I19"/>
  <c r="I73"/>
  <c r="I80" s="1"/>
  <c r="I89"/>
  <c r="I92" s="1"/>
  <c r="I101"/>
  <c r="I108" s="1"/>
  <c r="I107" i="3"/>
  <c r="J637" i="4"/>
  <c r="J580"/>
  <c r="M370"/>
  <c r="L194"/>
  <c r="L370"/>
  <c r="L391"/>
  <c r="M529"/>
  <c r="M660" s="1"/>
  <c r="M1086"/>
  <c r="K1151"/>
  <c r="M1151"/>
  <c r="L1151"/>
  <c r="M74"/>
  <c r="M366" s="1"/>
  <c r="K238"/>
  <c r="M238"/>
  <c r="K302"/>
  <c r="M302"/>
  <c r="K317"/>
  <c r="M317"/>
  <c r="M328"/>
  <c r="L492"/>
  <c r="L1103"/>
  <c r="K1103"/>
  <c r="L1126"/>
  <c r="I1151"/>
  <c r="G1151"/>
  <c r="I1141"/>
  <c r="G1141"/>
  <c r="I1126"/>
  <c r="G1126"/>
  <c r="I1103"/>
  <c r="G1103"/>
  <c r="I1086"/>
  <c r="G1086"/>
  <c r="I1067"/>
  <c r="G1067"/>
  <c r="I1046"/>
  <c r="G1046"/>
  <c r="I1034"/>
  <c r="G1034"/>
  <c r="I1015"/>
  <c r="G1015"/>
  <c r="I997"/>
  <c r="I1123" s="1"/>
  <c r="G997"/>
  <c r="G1123" s="1"/>
  <c r="I978"/>
  <c r="I1124" s="1"/>
  <c r="G978"/>
  <c r="G1124" s="1"/>
  <c r="I959"/>
  <c r="G959"/>
  <c r="I949"/>
  <c r="G949"/>
  <c r="I939"/>
  <c r="G939"/>
  <c r="I924"/>
  <c r="G924"/>
  <c r="G901"/>
  <c r="I884"/>
  <c r="G884"/>
  <c r="I865"/>
  <c r="G865"/>
  <c r="I844"/>
  <c r="G844"/>
  <c r="I832"/>
  <c r="G832"/>
  <c r="I813"/>
  <c r="I920" s="1"/>
  <c r="G813"/>
  <c r="G920" s="1"/>
  <c r="I795"/>
  <c r="I921" s="1"/>
  <c r="G795"/>
  <c r="G921" s="1"/>
  <c r="I776"/>
  <c r="I922" s="1"/>
  <c r="G776"/>
  <c r="G922" s="1"/>
  <c r="I757"/>
  <c r="I923" s="1"/>
  <c r="G757"/>
  <c r="G923" s="1"/>
  <c r="I740"/>
  <c r="G740"/>
  <c r="I721"/>
  <c r="G721"/>
  <c r="I714"/>
  <c r="G714"/>
  <c r="I698"/>
  <c r="G698"/>
  <c r="I686"/>
  <c r="G686"/>
  <c r="I671"/>
  <c r="G671"/>
  <c r="J663"/>
  <c r="H663"/>
  <c r="J645"/>
  <c r="H645"/>
  <c r="J625"/>
  <c r="H625"/>
  <c r="J604"/>
  <c r="H604"/>
  <c r="J588"/>
  <c r="H588"/>
  <c r="J568"/>
  <c r="H568"/>
  <c r="J550"/>
  <c r="H550"/>
  <c r="J529"/>
  <c r="J660" s="1"/>
  <c r="H529"/>
  <c r="H660" s="1"/>
  <c r="J520"/>
  <c r="H520"/>
  <c r="J492"/>
  <c r="H492"/>
  <c r="J471"/>
  <c r="H471"/>
  <c r="J436"/>
  <c r="H436"/>
  <c r="J413"/>
  <c r="H413"/>
  <c r="J391"/>
  <c r="H391"/>
  <c r="J1151"/>
  <c r="H1151"/>
  <c r="J1141"/>
  <c r="H1141"/>
  <c r="J1126"/>
  <c r="H1126"/>
  <c r="J1103"/>
  <c r="H1103"/>
  <c r="J1086"/>
  <c r="H1086"/>
  <c r="J1067"/>
  <c r="H1067"/>
  <c r="J1046"/>
  <c r="H1046"/>
  <c r="J1034"/>
  <c r="H1034"/>
  <c r="J1015"/>
  <c r="H1015"/>
  <c r="J997"/>
  <c r="J1123" s="1"/>
  <c r="H997"/>
  <c r="H1123" s="1"/>
  <c r="J959"/>
  <c r="J1125" s="1"/>
  <c r="H959"/>
  <c r="H1125" s="1"/>
  <c r="J949"/>
  <c r="H949"/>
  <c r="J939"/>
  <c r="H939"/>
  <c r="J924"/>
  <c r="H924"/>
  <c r="J901"/>
  <c r="H901"/>
  <c r="J884"/>
  <c r="H884"/>
  <c r="J865"/>
  <c r="H865"/>
  <c r="J844"/>
  <c r="H844"/>
  <c r="J832"/>
  <c r="H832"/>
  <c r="J813"/>
  <c r="H813"/>
  <c r="J795"/>
  <c r="J921" s="1"/>
  <c r="H795"/>
  <c r="H921" s="1"/>
  <c r="J776"/>
  <c r="J922" s="1"/>
  <c r="H776"/>
  <c r="H922" s="1"/>
  <c r="J757"/>
  <c r="J923" s="1"/>
  <c r="H757"/>
  <c r="H923" s="1"/>
  <c r="J740"/>
  <c r="H740"/>
  <c r="J721"/>
  <c r="H721"/>
  <c r="J714"/>
  <c r="H714"/>
  <c r="J698"/>
  <c r="H698"/>
  <c r="J686"/>
  <c r="H686"/>
  <c r="J671"/>
  <c r="H671"/>
  <c r="J370"/>
  <c r="H370"/>
  <c r="J346"/>
  <c r="H346"/>
  <c r="J328"/>
  <c r="H328"/>
  <c r="J317"/>
  <c r="H317"/>
  <c r="J302"/>
  <c r="H302"/>
  <c r="J284"/>
  <c r="H284"/>
  <c r="J258"/>
  <c r="H258"/>
  <c r="J238"/>
  <c r="H238"/>
  <c r="J217"/>
  <c r="J515" s="1"/>
  <c r="J516" s="1"/>
  <c r="H217"/>
  <c r="H515" s="1"/>
  <c r="H516" s="1"/>
  <c r="J194"/>
  <c r="H194"/>
  <c r="J173"/>
  <c r="H173"/>
  <c r="J150"/>
  <c r="H150"/>
  <c r="J136"/>
  <c r="H136"/>
  <c r="J115"/>
  <c r="H115"/>
  <c r="J95"/>
  <c r="H95"/>
  <c r="J74"/>
  <c r="H74"/>
  <c r="J53"/>
  <c r="H53"/>
  <c r="J34"/>
  <c r="H34"/>
  <c r="J13"/>
  <c r="H13"/>
  <c r="I663"/>
  <c r="G663"/>
  <c r="I645"/>
  <c r="G645"/>
  <c r="I625"/>
  <c r="G625"/>
  <c r="I604"/>
  <c r="G604"/>
  <c r="G588"/>
  <c r="I568"/>
  <c r="G568"/>
  <c r="I550"/>
  <c r="G550"/>
  <c r="I529"/>
  <c r="I660" s="1"/>
  <c r="G529"/>
  <c r="G660" s="1"/>
  <c r="I520"/>
  <c r="G520"/>
  <c r="G492"/>
  <c r="I471"/>
  <c r="G471"/>
  <c r="I459"/>
  <c r="G459"/>
  <c r="I436"/>
  <c r="G436"/>
  <c r="I413"/>
  <c r="G413"/>
  <c r="I391"/>
  <c r="G391"/>
  <c r="I370"/>
  <c r="G370"/>
  <c r="I346"/>
  <c r="G346"/>
  <c r="I328"/>
  <c r="G328"/>
  <c r="I317"/>
  <c r="G317"/>
  <c r="I302"/>
  <c r="G302"/>
  <c r="I284"/>
  <c r="G284"/>
  <c r="I258"/>
  <c r="G258"/>
  <c r="I238"/>
  <c r="G238"/>
  <c r="I217"/>
  <c r="I515" s="1"/>
  <c r="I516" s="1"/>
  <c r="G217"/>
  <c r="G515" s="1"/>
  <c r="G516" s="1"/>
  <c r="I194"/>
  <c r="G194"/>
  <c r="I173"/>
  <c r="G173"/>
  <c r="I150"/>
  <c r="G150"/>
  <c r="I136"/>
  <c r="G136"/>
  <c r="I115"/>
  <c r="G115"/>
  <c r="I95"/>
  <c r="G95"/>
  <c r="I74"/>
  <c r="G74"/>
  <c r="I53"/>
  <c r="G53"/>
  <c r="I34"/>
  <c r="G34"/>
  <c r="I13"/>
  <c r="G13"/>
  <c r="J1121"/>
  <c r="H1121"/>
  <c r="J1066"/>
  <c r="J1122"/>
  <c r="H1066"/>
  <c r="H1122"/>
  <c r="I1121"/>
  <c r="G1121"/>
  <c r="I1066"/>
  <c r="I1122"/>
  <c r="G1066"/>
  <c r="G1122"/>
  <c r="I1125"/>
  <c r="I958"/>
  <c r="G1125"/>
  <c r="G919"/>
  <c r="J978"/>
  <c r="J1124" s="1"/>
  <c r="H978"/>
  <c r="H1124" s="1"/>
  <c r="J958"/>
  <c r="H958"/>
  <c r="J919"/>
  <c r="H919"/>
  <c r="J864"/>
  <c r="J920"/>
  <c r="J720" s="1"/>
  <c r="J957" s="1"/>
  <c r="H864"/>
  <c r="H920"/>
  <c r="J712"/>
  <c r="H712"/>
  <c r="J517"/>
  <c r="H517"/>
  <c r="I864"/>
  <c r="G864"/>
  <c r="G720" s="1"/>
  <c r="G957" s="1"/>
  <c r="I712"/>
  <c r="G712"/>
  <c r="G517"/>
  <c r="J459"/>
  <c r="H459"/>
  <c r="J456"/>
  <c r="H456"/>
  <c r="J278"/>
  <c r="H278"/>
  <c r="J279"/>
  <c r="H279"/>
  <c r="J172"/>
  <c r="J280" s="1"/>
  <c r="J368"/>
  <c r="J369"/>
  <c r="J457" s="1"/>
  <c r="H172"/>
  <c r="H280" s="1"/>
  <c r="H368"/>
  <c r="H369"/>
  <c r="H457" s="1"/>
  <c r="J281"/>
  <c r="J367"/>
  <c r="H281"/>
  <c r="H12" s="1"/>
  <c r="H367"/>
  <c r="J282"/>
  <c r="J366"/>
  <c r="H282"/>
  <c r="H366"/>
  <c r="J283"/>
  <c r="J365"/>
  <c r="H283"/>
  <c r="H365"/>
  <c r="J12"/>
  <c r="I456"/>
  <c r="G456"/>
  <c r="I278"/>
  <c r="G278"/>
  <c r="I279"/>
  <c r="G279"/>
  <c r="I172"/>
  <c r="I280" s="1"/>
  <c r="I368"/>
  <c r="I369"/>
  <c r="I457" s="1"/>
  <c r="G172"/>
  <c r="G280" s="1"/>
  <c r="G368"/>
  <c r="G369"/>
  <c r="G457" s="1"/>
  <c r="I281"/>
  <c r="I367"/>
  <c r="G281"/>
  <c r="G12" s="1"/>
  <c r="G367"/>
  <c r="I282"/>
  <c r="I366"/>
  <c r="G282"/>
  <c r="G366"/>
  <c r="I283"/>
  <c r="I365"/>
  <c r="I458" s="1"/>
  <c r="G283"/>
  <c r="G365"/>
  <c r="G526" s="1"/>
  <c r="I12"/>
  <c r="K813"/>
  <c r="K865"/>
  <c r="M939"/>
  <c r="M959"/>
  <c r="M1125" s="1"/>
  <c r="L1086"/>
  <c r="L1121" s="1"/>
  <c r="K1086"/>
  <c r="L1141"/>
  <c r="M95"/>
  <c r="M367" s="1"/>
  <c r="L74"/>
  <c r="L95"/>
  <c r="M436"/>
  <c r="M568"/>
  <c r="K588"/>
  <c r="M588"/>
  <c r="M625"/>
  <c r="L776"/>
  <c r="L922" s="1"/>
  <c r="M832"/>
  <c r="M884"/>
  <c r="L901"/>
  <c r="M1067"/>
  <c r="M1121" s="1"/>
  <c r="K413"/>
  <c r="L436"/>
  <c r="K459"/>
  <c r="M459"/>
  <c r="L471"/>
  <c r="L517" s="1"/>
  <c r="L529"/>
  <c r="L660" s="1"/>
  <c r="L625"/>
  <c r="L645"/>
  <c r="L757"/>
  <c r="L923" s="1"/>
  <c r="K795"/>
  <c r="K921" s="1"/>
  <c r="M795"/>
  <c r="M921" s="1"/>
  <c r="L832"/>
  <c r="K924"/>
  <c r="M924"/>
  <c r="M978"/>
  <c r="M1124" s="1"/>
  <c r="L1067"/>
  <c r="K1067"/>
  <c r="K1121" s="1"/>
  <c r="K1126"/>
  <c r="M1126"/>
  <c r="M258"/>
  <c r="K284"/>
  <c r="M284"/>
  <c r="K346"/>
  <c r="L413"/>
  <c r="L456" s="1"/>
  <c r="M520"/>
  <c r="K550"/>
  <c r="M550"/>
  <c r="K604"/>
  <c r="M604"/>
  <c r="M663"/>
  <c r="K714"/>
  <c r="M714"/>
  <c r="M813"/>
  <c r="M865"/>
  <c r="L884"/>
  <c r="L939"/>
  <c r="L978"/>
  <c r="L1124" s="1"/>
  <c r="K997"/>
  <c r="K1123" s="1"/>
  <c r="M997"/>
  <c r="M1123" s="1"/>
  <c r="K1046"/>
  <c r="M1046"/>
  <c r="L13"/>
  <c r="L136"/>
  <c r="K844"/>
  <c r="K949"/>
  <c r="M949"/>
  <c r="L959"/>
  <c r="K1015"/>
  <c r="K1066" s="1"/>
  <c r="M1015"/>
  <c r="L150"/>
  <c r="L173"/>
  <c r="L279" s="1"/>
  <c r="L217"/>
  <c r="L258"/>
  <c r="L520"/>
  <c r="K529"/>
  <c r="K660" s="1"/>
  <c r="K568"/>
  <c r="K625"/>
  <c r="L663"/>
  <c r="K671"/>
  <c r="M671"/>
  <c r="M686"/>
  <c r="K34"/>
  <c r="M34"/>
  <c r="K53"/>
  <c r="K365" s="1"/>
  <c r="M53"/>
  <c r="M365" s="1"/>
  <c r="L284"/>
  <c r="K436"/>
  <c r="L459"/>
  <c r="L740"/>
  <c r="K884"/>
  <c r="L238"/>
  <c r="K370"/>
  <c r="K456" s="1"/>
  <c r="L714"/>
  <c r="K832"/>
  <c r="K864" s="1"/>
  <c r="L997"/>
  <c r="L1123" s="1"/>
  <c r="K1034"/>
  <c r="M1034"/>
  <c r="M1066" s="1"/>
  <c r="M391"/>
  <c r="M456" s="1"/>
  <c r="K13"/>
  <c r="M13"/>
  <c r="K74"/>
  <c r="K282" s="1"/>
  <c r="K95"/>
  <c r="K367" s="1"/>
  <c r="L115"/>
  <c r="K136"/>
  <c r="K528" s="1"/>
  <c r="M136"/>
  <c r="K258"/>
  <c r="K515" s="1"/>
  <c r="K516" s="1"/>
  <c r="L302"/>
  <c r="L328"/>
  <c r="M413"/>
  <c r="K492"/>
  <c r="M492"/>
  <c r="E502"/>
  <c r="I502" s="1"/>
  <c r="I492" s="1"/>
  <c r="I517" s="1"/>
  <c r="K520"/>
  <c r="L588"/>
  <c r="E594"/>
  <c r="I594" s="1"/>
  <c r="I588" s="1"/>
  <c r="M721"/>
  <c r="L671"/>
  <c r="K698"/>
  <c r="M698"/>
  <c r="M712" s="1"/>
  <c r="L721"/>
  <c r="K757"/>
  <c r="K923" s="1"/>
  <c r="M757"/>
  <c r="M923" s="1"/>
  <c r="K776"/>
  <c r="K922" s="1"/>
  <c r="M776"/>
  <c r="M922" s="1"/>
  <c r="L795"/>
  <c r="L921" s="1"/>
  <c r="L813"/>
  <c r="M844"/>
  <c r="M920" s="1"/>
  <c r="L865"/>
  <c r="K901"/>
  <c r="K919" s="1"/>
  <c r="M901"/>
  <c r="M919" s="1"/>
  <c r="E910"/>
  <c r="I910" s="1"/>
  <c r="I901" s="1"/>
  <c r="L924"/>
  <c r="K939"/>
  <c r="L949"/>
  <c r="K959"/>
  <c r="K1125" s="1"/>
  <c r="K978"/>
  <c r="K1124" s="1"/>
  <c r="L1015"/>
  <c r="L1066" s="1"/>
  <c r="L1034"/>
  <c r="L1046"/>
  <c r="L34"/>
  <c r="L53"/>
  <c r="L365" s="1"/>
  <c r="K115"/>
  <c r="M115"/>
  <c r="M469" s="1"/>
  <c r="K150"/>
  <c r="M150"/>
  <c r="K194"/>
  <c r="M194"/>
  <c r="K217"/>
  <c r="M217"/>
  <c r="M278" s="1"/>
  <c r="L346"/>
  <c r="K173"/>
  <c r="M173"/>
  <c r="L317"/>
  <c r="K328"/>
  <c r="M346"/>
  <c r="M468" s="1"/>
  <c r="K471"/>
  <c r="K517" s="1"/>
  <c r="M471"/>
  <c r="L550"/>
  <c r="L568"/>
  <c r="L604"/>
  <c r="K686"/>
  <c r="K712" s="1"/>
  <c r="L698"/>
  <c r="L844"/>
  <c r="L920" s="1"/>
  <c r="L919"/>
  <c r="K645"/>
  <c r="M645"/>
  <c r="K663"/>
  <c r="L686"/>
  <c r="L712" s="1"/>
  <c r="K721"/>
  <c r="M864"/>
  <c r="M515"/>
  <c r="M516" s="1"/>
  <c r="L283"/>
  <c r="L366"/>
  <c r="L282"/>
  <c r="L367"/>
  <c r="L281"/>
  <c r="K469"/>
  <c r="K527"/>
  <c r="K368"/>
  <c r="M528"/>
  <c r="M369"/>
  <c r="M457" s="1"/>
  <c r="M470"/>
  <c r="M172"/>
  <c r="M280" s="1"/>
  <c r="L527"/>
  <c r="L470"/>
  <c r="L368"/>
  <c r="L528"/>
  <c r="L469"/>
  <c r="L369"/>
  <c r="L457" s="1"/>
  <c r="L515"/>
  <c r="L516" s="1"/>
  <c r="L278"/>
  <c r="K281"/>
  <c r="M281"/>
  <c r="K283"/>
  <c r="M283"/>
  <c r="M458"/>
  <c r="K366"/>
  <c r="K526" s="1"/>
  <c r="M517"/>
  <c r="L172"/>
  <c r="L280" s="1"/>
  <c r="M282"/>
  <c r="K740"/>
  <c r="M740"/>
  <c r="L864"/>
  <c r="L1125"/>
  <c r="K920"/>
  <c r="L1122"/>
  <c r="K1122"/>
  <c r="M1122"/>
  <c r="I8" i="3"/>
  <c r="I7" s="1"/>
  <c r="G11" i="1"/>
  <c r="G10"/>
  <c r="G9"/>
  <c r="G8"/>
  <c r="G7"/>
  <c r="G6"/>
  <c r="F15"/>
  <c r="F14"/>
  <c r="H13"/>
  <c r="G13"/>
  <c r="H15"/>
  <c r="H14"/>
  <c r="G15"/>
  <c r="G14"/>
  <c r="F13"/>
  <c r="F11"/>
  <c r="F10"/>
  <c r="F9"/>
  <c r="F8"/>
  <c r="F7"/>
  <c r="F6"/>
  <c r="H11"/>
  <c r="H10"/>
  <c r="H9"/>
  <c r="H8"/>
  <c r="H7"/>
  <c r="H6"/>
  <c r="I15"/>
  <c r="O15" s="1"/>
  <c r="N14"/>
  <c r="O14" s="1"/>
  <c r="K14"/>
  <c r="L14" s="1"/>
  <c r="J14"/>
  <c r="I14"/>
  <c r="R13"/>
  <c r="Q13"/>
  <c r="P13"/>
  <c r="O13"/>
  <c r="N13"/>
  <c r="M13" s="1"/>
  <c r="K13"/>
  <c r="L13" s="1"/>
  <c r="J13"/>
  <c r="I13"/>
  <c r="E12"/>
  <c r="R11"/>
  <c r="Q11"/>
  <c r="P11"/>
  <c r="O11"/>
  <c r="N11"/>
  <c r="M11" s="1"/>
  <c r="K11"/>
  <c r="L11" s="1"/>
  <c r="J11"/>
  <c r="I11"/>
  <c r="R10"/>
  <c r="Q10"/>
  <c r="P10"/>
  <c r="O10"/>
  <c r="N10"/>
  <c r="M10" s="1"/>
  <c r="K10"/>
  <c r="L10" s="1"/>
  <c r="J10"/>
  <c r="I10"/>
  <c r="R9"/>
  <c r="Q9"/>
  <c r="P9"/>
  <c r="O9"/>
  <c r="N9"/>
  <c r="M9" s="1"/>
  <c r="K9"/>
  <c r="L9" s="1"/>
  <c r="J9"/>
  <c r="I9"/>
  <c r="R8"/>
  <c r="Q8"/>
  <c r="P8"/>
  <c r="O8"/>
  <c r="N8"/>
  <c r="M8" s="1"/>
  <c r="K8"/>
  <c r="L8" s="1"/>
  <c r="J8"/>
  <c r="I8"/>
  <c r="R7"/>
  <c r="Q7"/>
  <c r="P7"/>
  <c r="O7"/>
  <c r="N7"/>
  <c r="M7" s="1"/>
  <c r="K7"/>
  <c r="L7" s="1"/>
  <c r="J7"/>
  <c r="I7"/>
  <c r="R6"/>
  <c r="Q6"/>
  <c r="P6"/>
  <c r="O6"/>
  <c r="N6"/>
  <c r="M6" s="1"/>
  <c r="K6"/>
  <c r="L6" s="1"/>
  <c r="J6"/>
  <c r="I6"/>
  <c r="E5"/>
  <c r="AA7" i="5" l="1"/>
  <c r="AE7"/>
  <c r="AI7"/>
  <c r="AM7"/>
  <c r="X7"/>
  <c r="AB7"/>
  <c r="AF7"/>
  <c r="AJ7"/>
  <c r="AN7"/>
  <c r="Y7"/>
  <c r="AC7"/>
  <c r="AG7"/>
  <c r="AK7"/>
  <c r="AO7"/>
  <c r="Z7"/>
  <c r="AD7"/>
  <c r="AH7"/>
  <c r="AL7"/>
  <c r="Y14"/>
  <c r="Y6" s="1"/>
  <c r="AC14"/>
  <c r="AG14"/>
  <c r="AG6" s="1"/>
  <c r="AK14"/>
  <c r="AO14"/>
  <c r="AO6" s="1"/>
  <c r="Z14"/>
  <c r="AD14"/>
  <c r="AD6" s="1"/>
  <c r="AH14"/>
  <c r="AL14"/>
  <c r="AL6" s="1"/>
  <c r="AA14"/>
  <c r="AE14"/>
  <c r="AE6" s="1"/>
  <c r="AI14"/>
  <c r="AM14"/>
  <c r="AM6" s="1"/>
  <c r="X14"/>
  <c r="AB14"/>
  <c r="AB6" s="1"/>
  <c r="AF14"/>
  <c r="AJ14"/>
  <c r="AJ6" s="1"/>
  <c r="AN14"/>
  <c r="I18" i="6"/>
  <c r="I9" s="1"/>
  <c r="I8" s="1"/>
  <c r="I7" s="1"/>
  <c r="K958" i="4"/>
  <c r="M526"/>
  <c r="M368"/>
  <c r="M327" s="1"/>
  <c r="M326" s="1"/>
  <c r="M527"/>
  <c r="K172"/>
  <c r="K280" s="1"/>
  <c r="K470"/>
  <c r="K369"/>
  <c r="K457" s="1"/>
  <c r="K278"/>
  <c r="L468"/>
  <c r="L458"/>
  <c r="M279"/>
  <c r="H720"/>
  <c r="H957" s="1"/>
  <c r="G958"/>
  <c r="I919"/>
  <c r="I720"/>
  <c r="I957" s="1"/>
  <c r="L526"/>
  <c r="K279"/>
  <c r="G469"/>
  <c r="G470"/>
  <c r="G527"/>
  <c r="G528"/>
  <c r="H469"/>
  <c r="H470"/>
  <c r="H527"/>
  <c r="H528"/>
  <c r="L958"/>
  <c r="I469"/>
  <c r="I470"/>
  <c r="I527"/>
  <c r="I528"/>
  <c r="J469"/>
  <c r="J470"/>
  <c r="J527"/>
  <c r="J528"/>
  <c r="G458"/>
  <c r="H468"/>
  <c r="H526"/>
  <c r="J468"/>
  <c r="J526"/>
  <c r="H458"/>
  <c r="H327" s="1"/>
  <c r="H326" s="1"/>
  <c r="J458"/>
  <c r="G662"/>
  <c r="G669"/>
  <c r="I468"/>
  <c r="I526"/>
  <c r="G468"/>
  <c r="G327"/>
  <c r="G326" s="1"/>
  <c r="I327"/>
  <c r="I326" s="1"/>
  <c r="J327"/>
  <c r="J326" s="1"/>
  <c r="M958"/>
  <c r="K720"/>
  <c r="K957" s="1"/>
  <c r="M720"/>
  <c r="M957" s="1"/>
  <c r="L518"/>
  <c r="M518"/>
  <c r="K669"/>
  <c r="K662"/>
  <c r="L720"/>
  <c r="L957" s="1"/>
  <c r="L669"/>
  <c r="L662"/>
  <c r="L519"/>
  <c r="M519"/>
  <c r="M669"/>
  <c r="M662"/>
  <c r="L670"/>
  <c r="L713" s="1"/>
  <c r="L661"/>
  <c r="L525" s="1"/>
  <c r="K458"/>
  <c r="K327"/>
  <c r="K326" s="1"/>
  <c r="M670"/>
  <c r="M713" s="1"/>
  <c r="M661"/>
  <c r="M525" s="1"/>
  <c r="L327"/>
  <c r="L326" s="1"/>
  <c r="L12"/>
  <c r="L9" s="1"/>
  <c r="M12"/>
  <c r="M9" s="1"/>
  <c r="J9"/>
  <c r="G9"/>
  <c r="K468"/>
  <c r="K661"/>
  <c r="K525" s="1"/>
  <c r="K670"/>
  <c r="K713" s="1"/>
  <c r="K518"/>
  <c r="H9"/>
  <c r="K12"/>
  <c r="K9" s="1"/>
  <c r="I9"/>
  <c r="M14" i="1"/>
  <c r="J15"/>
  <c r="P15"/>
  <c r="N15"/>
  <c r="M15" s="1"/>
  <c r="P14"/>
  <c r="K15"/>
  <c r="L15" s="1"/>
  <c r="AN6" i="5" l="1"/>
  <c r="AF6"/>
  <c r="X6"/>
  <c r="AI6"/>
  <c r="AA6"/>
  <c r="AH6"/>
  <c r="AK6"/>
  <c r="AC6"/>
  <c r="AL35"/>
  <c r="AL37" s="1"/>
  <c r="AD35"/>
  <c r="AD37" s="1"/>
  <c r="AO35"/>
  <c r="AO37" s="1"/>
  <c r="AG35"/>
  <c r="AG37" s="1"/>
  <c r="Y35"/>
  <c r="Y37" s="1"/>
  <c r="AJ35"/>
  <c r="AJ37" s="1"/>
  <c r="AB35"/>
  <c r="AB37" s="1"/>
  <c r="AM35"/>
  <c r="AM37" s="1"/>
  <c r="AA35"/>
  <c r="AA37" s="1"/>
  <c r="AH35"/>
  <c r="AH37" s="1"/>
  <c r="Z35"/>
  <c r="Z37" s="1"/>
  <c r="AK35"/>
  <c r="AK37" s="1"/>
  <c r="AC35"/>
  <c r="AC37" s="1"/>
  <c r="AN35"/>
  <c r="AN37" s="1"/>
  <c r="AF35"/>
  <c r="AF37" s="1"/>
  <c r="X35"/>
  <c r="X37" s="1"/>
  <c r="AI35"/>
  <c r="AI37" s="1"/>
  <c r="AE35"/>
  <c r="AE37" s="1"/>
  <c r="Z6"/>
  <c r="H518" i="4"/>
  <c r="G518"/>
  <c r="H661"/>
  <c r="H670"/>
  <c r="H713" s="1"/>
  <c r="G661"/>
  <c r="G525" s="1"/>
  <c r="G670"/>
  <c r="G713" s="1"/>
  <c r="J670"/>
  <c r="J713" s="1"/>
  <c r="J661"/>
  <c r="J518"/>
  <c r="I661"/>
  <c r="I670"/>
  <c r="I713" s="1"/>
  <c r="I518"/>
  <c r="J519"/>
  <c r="H519"/>
  <c r="H467" s="1"/>
  <c r="G519"/>
  <c r="G467" s="1"/>
  <c r="I519"/>
  <c r="I467" s="1"/>
  <c r="J525"/>
  <c r="J662"/>
  <c r="J669"/>
  <c r="J668" s="1"/>
  <c r="J719" s="1"/>
  <c r="H662"/>
  <c r="H525" s="1"/>
  <c r="H669"/>
  <c r="H668" s="1"/>
  <c r="H719" s="1"/>
  <c r="I662"/>
  <c r="I525" s="1"/>
  <c r="I669"/>
  <c r="I668" s="1"/>
  <c r="I719" s="1"/>
  <c r="L467"/>
  <c r="M668"/>
  <c r="M719" s="1"/>
  <c r="M467"/>
  <c r="L668"/>
  <c r="L719" s="1"/>
  <c r="K519"/>
  <c r="K467" s="1"/>
  <c r="K668"/>
  <c r="K719" s="1"/>
  <c r="L8"/>
  <c r="J467" l="1"/>
  <c r="M8"/>
  <c r="G668"/>
  <c r="G719" s="1"/>
  <c r="K8"/>
  <c r="E10" i="1" l="1"/>
  <c r="T10" s="1"/>
  <c r="E9"/>
  <c r="T9" s="1"/>
  <c r="E7"/>
  <c r="T7" s="1"/>
  <c r="E8"/>
  <c r="T8" s="1"/>
  <c r="E11"/>
  <c r="T11" s="1"/>
  <c r="E6"/>
  <c r="T6" s="1"/>
  <c r="E13"/>
  <c r="T13" s="1"/>
  <c r="E14"/>
  <c r="T14" s="1"/>
  <c r="E15"/>
  <c r="T15" s="1"/>
</calcChain>
</file>

<file path=xl/comments1.xml><?xml version="1.0" encoding="utf-8"?>
<comments xmlns="http://schemas.openxmlformats.org/spreadsheetml/2006/main">
  <authors>
    <author>Le Tuan</author>
    <author>anhtuan</author>
  </authors>
  <commentList>
    <comment ref="D4" authorId="0">
      <text>
        <r>
          <rPr>
            <b/>
            <sz val="8"/>
            <color indexed="12"/>
            <rFont val="Tahoma"/>
            <family val="2"/>
          </rPr>
          <t>khi tính lỗ cửa đi , cửa sổ hoặc lỗ thông ngang thì giá trị nhập phải là số nguyên(-) âm</t>
        </r>
      </text>
    </comment>
    <comment ref="E5" authorId="0">
      <text>
        <r>
          <rPr>
            <b/>
            <sz val="8"/>
            <color indexed="81"/>
            <rFont val="Tahoma"/>
            <family val="2"/>
          </rPr>
          <t xml:space="preserve">Chiều dài tường (hoặc cấu kiện) có thể được cộng dồn </t>
        </r>
        <r>
          <rPr>
            <b/>
            <sz val="8"/>
            <color indexed="10"/>
            <rFont val="Tahoma"/>
            <family val="2"/>
          </rPr>
          <t xml:space="preserve">(phép cộng dồn được thể hiện ngay trong cell) </t>
        </r>
        <r>
          <rPr>
            <sz val="8"/>
            <color indexed="10"/>
            <rFont val="Tahoma"/>
            <family val="2"/>
          </rPr>
          <t>và phải là các cấu kiện có cùng chiều cao (hoặc rộng)</t>
        </r>
        <r>
          <rPr>
            <b/>
            <sz val="8"/>
            <color indexed="81"/>
            <rFont val="Tahoma"/>
            <family val="2"/>
          </rPr>
          <t xml:space="preserve"> để dễ kiểm tra</t>
        </r>
      </text>
    </comment>
    <comment ref="F5" authorId="0">
      <text>
        <r>
          <rPr>
            <b/>
            <sz val="8"/>
            <color indexed="12"/>
            <rFont val="Tahoma"/>
            <family val="2"/>
          </rPr>
          <t xml:space="preserve">Chiều cao tường xây </t>
        </r>
        <r>
          <rPr>
            <b/>
            <sz val="8"/>
            <color indexed="10"/>
            <rFont val="Tahoma"/>
            <family val="2"/>
          </rPr>
          <t>= chiều cau lầu H - chiều cao dầm (hoặc chiều cao sàn)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1">
      <text>
        <r>
          <rPr>
            <b/>
            <sz val="9"/>
            <color indexed="81"/>
            <rFont val="Tahoma"/>
            <family val="2"/>
          </rPr>
          <t>anhtuan:</t>
        </r>
        <r>
          <rPr>
            <sz val="9"/>
            <color indexed="81"/>
            <rFont val="Tahoma"/>
            <family val="2"/>
          </rPr>
          <t xml:space="preserve">
Thãm nền phòng</t>
        </r>
      </text>
    </comment>
    <comment ref="H5" authorId="1">
      <text>
        <r>
          <rPr>
            <b/>
            <sz val="9"/>
            <color indexed="81"/>
            <rFont val="Tahoma"/>
            <family val="2"/>
          </rPr>
          <t>anhtuan:</t>
        </r>
        <r>
          <rPr>
            <sz val="9"/>
            <color indexed="81"/>
            <rFont val="Tahoma"/>
            <family val="2"/>
          </rPr>
          <t xml:space="preserve">
Lát gạch nền phòng</t>
        </r>
      </text>
    </comment>
    <comment ref="I5" authorId="1">
      <text>
        <r>
          <rPr>
            <b/>
            <sz val="9"/>
            <color indexed="81"/>
            <rFont val="Tahoma"/>
            <family val="2"/>
          </rPr>
          <t>anhtuan:</t>
        </r>
        <r>
          <rPr>
            <sz val="9"/>
            <color indexed="81"/>
            <rFont val="Tahoma"/>
            <family val="2"/>
          </rPr>
          <t xml:space="preserve">
Lát nền vệ sinh 30x60</t>
        </r>
      </text>
    </comment>
    <comment ref="J5" authorId="1">
      <text>
        <r>
          <rPr>
            <b/>
            <sz val="9"/>
            <color indexed="81"/>
            <rFont val="Tahoma"/>
            <family val="2"/>
          </rPr>
          <t>anhtuan:</t>
        </r>
        <r>
          <rPr>
            <sz val="9"/>
            <color indexed="81"/>
            <rFont val="Tahoma"/>
            <family val="2"/>
          </rPr>
          <t xml:space="preserve">
Lát nền vệ sinh 10x10</t>
        </r>
      </text>
    </comment>
    <comment ref="K5" authorId="1">
      <text>
        <r>
          <rPr>
            <b/>
            <sz val="9"/>
            <color indexed="81"/>
            <rFont val="Tahoma"/>
            <family val="2"/>
          </rPr>
          <t>anhtuan:</t>
        </r>
        <r>
          <rPr>
            <sz val="9"/>
            <color indexed="81"/>
            <rFont val="Tahoma"/>
            <family val="2"/>
          </rPr>
          <t xml:space="preserve">
Lát ngạch chân cửa DR</t>
        </r>
      </text>
    </comment>
    <comment ref="L5" authorId="1">
      <text>
        <r>
          <rPr>
            <b/>
            <sz val="9"/>
            <color indexed="81"/>
            <rFont val="Tahoma"/>
            <family val="2"/>
          </rPr>
          <t>anhtuan:</t>
        </r>
        <r>
          <rPr>
            <sz val="9"/>
            <color indexed="81"/>
            <rFont val="Tahoma"/>
            <family val="2"/>
          </rPr>
          <t xml:space="preserve">
Lát ngạch chân cửa VS</t>
        </r>
      </text>
    </comment>
    <comment ref="M5" authorId="1">
      <text>
        <r>
          <rPr>
            <b/>
            <sz val="9"/>
            <color indexed="81"/>
            <rFont val="Tahoma"/>
            <family val="2"/>
          </rPr>
          <t>anhtuan:</t>
        </r>
        <r>
          <rPr>
            <sz val="9"/>
            <color indexed="81"/>
            <rFont val="Tahoma"/>
            <family val="2"/>
          </rPr>
          <t xml:space="preserve">
Lát ngạch chân cửa ngăn phòng</t>
        </r>
      </text>
    </comment>
  </commentList>
</comments>
</file>

<file path=xl/comments2.xml><?xml version="1.0" encoding="utf-8"?>
<comments xmlns="http://schemas.openxmlformats.org/spreadsheetml/2006/main">
  <authors>
    <author>anhtuan</author>
  </authors>
  <commentList>
    <comment ref="AM5" authorId="0">
      <text>
        <r>
          <rPr>
            <b/>
            <sz val="9"/>
            <color indexed="81"/>
            <rFont val="Tahoma"/>
            <family val="2"/>
          </rPr>
          <t>anhtuan:</t>
        </r>
        <r>
          <rPr>
            <sz val="9"/>
            <color indexed="81"/>
            <rFont val="Tahoma"/>
            <family val="2"/>
          </rPr>
          <t xml:space="preserve">
1 bộ= 32 kg</t>
        </r>
      </text>
    </comment>
    <comment ref="AO5" authorId="0">
      <text>
        <r>
          <rPr>
            <b/>
            <sz val="9"/>
            <color indexed="81"/>
            <rFont val="Tahoma"/>
            <family val="2"/>
          </rPr>
          <t>anhtuan:</t>
        </r>
        <r>
          <rPr>
            <sz val="9"/>
            <color indexed="81"/>
            <rFont val="Tahoma"/>
            <family val="2"/>
          </rPr>
          <t xml:space="preserve">
1can= 25 lít</t>
        </r>
      </text>
    </comment>
  </commentList>
</comments>
</file>

<file path=xl/sharedStrings.xml><?xml version="1.0" encoding="utf-8"?>
<sst xmlns="http://schemas.openxmlformats.org/spreadsheetml/2006/main" count="2758" uniqueCount="467">
  <si>
    <t>TT</t>
  </si>
  <si>
    <t>TÊN CÔNG ViỆC</t>
  </si>
  <si>
    <t>KÍ 
HiỆU</t>
  </si>
  <si>
    <t xml:space="preserve">ĐƠN
 VỊ </t>
  </si>
  <si>
    <t>K.LƯỢNG
D.TOÁN</t>
  </si>
  <si>
    <t>(26-33)</t>
  </si>
  <si>
    <t>(34-35)</t>
  </si>
  <si>
    <t>CÔNG TÁC XÂY</t>
  </si>
  <si>
    <t>m2</t>
  </si>
  <si>
    <t>Xây tường gạch ống, 6 hàng chân gạch thẻ, dày 200, tường WC</t>
  </si>
  <si>
    <t>200.w</t>
  </si>
  <si>
    <t>Xây tường gạch ống, dày 100, tường trong</t>
  </si>
  <si>
    <t>100.t</t>
  </si>
  <si>
    <t>100.w</t>
  </si>
  <si>
    <t>Xây kết cấu phức tạp gạch thẻ: bật thang, bệ bồn tắm</t>
  </si>
  <si>
    <t>KCPT</t>
  </si>
  <si>
    <t>m3</t>
  </si>
  <si>
    <t>Xây tường, dày 250, có lớp cách âm ở giữa (T: 20+21) = (22+24 mới)</t>
  </si>
  <si>
    <t>250.o</t>
  </si>
  <si>
    <t>Xây tường trong, dày 250+ 350, (T: 34-35 -36-37) + dày 300, tường ngoài (T:1-4)</t>
  </si>
  <si>
    <t>300.n</t>
  </si>
  <si>
    <t>Tô tường trong, vữa M75</t>
  </si>
  <si>
    <t>TTtn</t>
  </si>
  <si>
    <t>Tô cột vách trong nhà, vữa M75</t>
  </si>
  <si>
    <t>TBTt</t>
  </si>
  <si>
    <t>Tô xà dầm, trần trong nhà, vữa M75</t>
  </si>
  <si>
    <t>TDTt</t>
  </si>
  <si>
    <t>21=17</t>
  </si>
  <si>
    <t>20=18</t>
  </si>
  <si>
    <t>22=18</t>
  </si>
  <si>
    <t>27-34=26</t>
  </si>
  <si>
    <t>35-36=37</t>
  </si>
  <si>
    <t>K.LƯỢNG
THỰC HIỆN</t>
  </si>
  <si>
    <t>% LÀM</t>
  </si>
  <si>
    <t>GHI CHÚ</t>
  </si>
  <si>
    <t xml:space="preserve">Xây tường gạch ống, 6 hàng chân gạch thẻ, dày 100, tường WC + , hộp kỹ thuật </t>
  </si>
  <si>
    <t>BẢNG TỔNG HỢP KHỐI LƯỢNG HAO PHÍ  VẬT TƯ  XÂY -TRÁT- HOÀN THIỆN</t>
  </si>
  <si>
    <t>Theo bảng tổng hợp KL xây - tô và % công việc thực hiện còn lại  trên thực tế. TẦNG 20 ĐẾN 41</t>
  </si>
  <si>
    <t>CÔNG TÁC TÔ -CÁN NỀN</t>
  </si>
  <si>
    <t>Dự án : Havana Nha Trang Plaza Hotel</t>
  </si>
  <si>
    <t>Khối lượng trám vữa và đóng lưới</t>
  </si>
  <si>
    <t>Công việc: trám, đóng lưới</t>
  </si>
  <si>
    <t>Ngày:</t>
  </si>
  <si>
    <t>Diễn tả công việc</t>
  </si>
  <si>
    <t>Mã 
số</t>
  </si>
  <si>
    <t>Qty</t>
  </si>
  <si>
    <t>Kích thướt(m)</t>
  </si>
  <si>
    <t>Kl 
chi tiết</t>
  </si>
  <si>
    <t>Khối lượng</t>
  </si>
  <si>
    <t>Ghi chú</t>
  </si>
  <si>
    <t>Dài
[l]</t>
  </si>
  <si>
    <t>Cao
[h]</t>
  </si>
  <si>
    <t>cắt
md (a)</t>
  </si>
  <si>
    <t>ốp
md (b)</t>
  </si>
  <si>
    <t>Tổng(28-39)trừ 38</t>
  </si>
  <si>
    <t>Lầu 28</t>
  </si>
  <si>
    <t>Trong phòng 2803</t>
  </si>
  <si>
    <t>cạnh cửa VW3</t>
  </si>
  <si>
    <t>a</t>
  </si>
  <si>
    <t>cạnh tủ tường</t>
  </si>
  <si>
    <t>b</t>
  </si>
  <si>
    <t>Trong phòng 2804</t>
  </si>
  <si>
    <t>cạnh cửa VW</t>
  </si>
  <si>
    <t>Trong phòng 2805</t>
  </si>
  <si>
    <t>Trong phòng 2806</t>
  </si>
  <si>
    <t>Trong phòng 2807</t>
  </si>
  <si>
    <t>cạnh cửa DS1</t>
  </si>
  <si>
    <t>Trong phòng 2807B</t>
  </si>
  <si>
    <t>Trong phòng 2808</t>
  </si>
  <si>
    <t>Trong phòng 2809</t>
  </si>
  <si>
    <t>Trong phòng 2810</t>
  </si>
  <si>
    <t>Trong phòng 2810B</t>
  </si>
  <si>
    <t>Trong phòng 2811</t>
  </si>
  <si>
    <t>Trong phòng 2812</t>
  </si>
  <si>
    <t>Trong phòng 2831</t>
  </si>
  <si>
    <t xml:space="preserve"> = phòng 2803</t>
  </si>
  <si>
    <t>Trong phòng 2830</t>
  </si>
  <si>
    <t xml:space="preserve"> = phòng 2804</t>
  </si>
  <si>
    <t>Trong phòng 2829</t>
  </si>
  <si>
    <t xml:space="preserve"> = phòng 2805</t>
  </si>
  <si>
    <t>Trong phòng 2828</t>
  </si>
  <si>
    <t xml:space="preserve"> = phòng 2806</t>
  </si>
  <si>
    <t>Trong phòng 2827</t>
  </si>
  <si>
    <t xml:space="preserve"> = phòng 2807</t>
  </si>
  <si>
    <t>Trong phòng 2827B</t>
  </si>
  <si>
    <t xml:space="preserve"> = phòng 2807A</t>
  </si>
  <si>
    <t>Trong phòng 2826</t>
  </si>
  <si>
    <t xml:space="preserve"> = phòng 2808</t>
  </si>
  <si>
    <t>Trong phòng 2825</t>
  </si>
  <si>
    <t xml:space="preserve"> = phòng 2809</t>
  </si>
  <si>
    <t>Trong phòng 2824</t>
  </si>
  <si>
    <t xml:space="preserve"> = phòng 2810</t>
  </si>
  <si>
    <t>Trong phòng 2824B</t>
  </si>
  <si>
    <t xml:space="preserve"> = phòng 2810A</t>
  </si>
  <si>
    <t>Trong phòng 2823</t>
  </si>
  <si>
    <t xml:space="preserve"> = phòng 2811</t>
  </si>
  <si>
    <t>Trong phòng 2822</t>
  </si>
  <si>
    <t xml:space="preserve"> = phòng 2812</t>
  </si>
  <si>
    <t>BAN QLDA HVN:</t>
  </si>
  <si>
    <t>KHỐI LƯỢNG FILL LỖ XUYÊN SÀN</t>
  </si>
  <si>
    <t>THEO BẢN VẼ PHÁT HÀNH 18 THÁNG 7 NĂM 2011 VÀ THỰC TẾ HOÀN THIỆN</t>
  </si>
  <si>
    <t>THEO THỰC TẾ HiỆN TRƯỜNG THI CÔNG</t>
  </si>
  <si>
    <t>Đơn vị
(lỗ)</t>
  </si>
  <si>
    <t>Kl
chi tiết</t>
  </si>
  <si>
    <t>khối lượng</t>
  </si>
  <si>
    <t>Tổng(35,36,37,38,39)</t>
  </si>
  <si>
    <t>Fill lỗ xuyên sàn</t>
  </si>
  <si>
    <t>tầng 39</t>
  </si>
  <si>
    <t>tầng 38</t>
  </si>
  <si>
    <t>tầng 37</t>
  </si>
  <si>
    <t>tầng 36</t>
  </si>
  <si>
    <t>tầng 35</t>
  </si>
  <si>
    <t>Khối lượng trám ống toilet</t>
  </si>
  <si>
    <t>Công việc: trám ống toilet</t>
  </si>
  <si>
    <t>Trám hồ
md (a)</t>
  </si>
  <si>
    <t>Đóng lưới
md (b)</t>
  </si>
  <si>
    <t>Lầu 30</t>
  </si>
  <si>
    <t>Trong phòng 3003</t>
  </si>
  <si>
    <t xml:space="preserve">Trám hồ đường điện </t>
  </si>
  <si>
    <t>Trong phòng 3004</t>
  </si>
  <si>
    <t>Trong phòng 3005</t>
  </si>
  <si>
    <t>Trong phòng 3006</t>
  </si>
  <si>
    <t>Trong phòng 3007</t>
  </si>
  <si>
    <t>Trong phòng 3007B</t>
  </si>
  <si>
    <t>Trong phòng 3008</t>
  </si>
  <si>
    <t>Trong phòng 3009</t>
  </si>
  <si>
    <t>Trong phòng 3010</t>
  </si>
  <si>
    <t>Trong phòng 3010B</t>
  </si>
  <si>
    <t>Trong phòng 3011</t>
  </si>
  <si>
    <t>Trám hồ đường điện</t>
  </si>
  <si>
    <t>Trong phòng 3012</t>
  </si>
  <si>
    <t>Trong phòng 3031</t>
  </si>
  <si>
    <t xml:space="preserve"> = phòng 3003</t>
  </si>
  <si>
    <t>Trong phòng 3030</t>
  </si>
  <si>
    <t xml:space="preserve"> = phòng 3004</t>
  </si>
  <si>
    <t>Trong phòng 3029</t>
  </si>
  <si>
    <t xml:space="preserve"> = phòng 3005</t>
  </si>
  <si>
    <t>Trong phòng 3028</t>
  </si>
  <si>
    <t xml:space="preserve"> = phòng 3006</t>
  </si>
  <si>
    <t>Trong phòng 3027</t>
  </si>
  <si>
    <t xml:space="preserve"> = phòng 3007</t>
  </si>
  <si>
    <t>Trong phòng 3027B</t>
  </si>
  <si>
    <t xml:space="preserve"> = phòng 3007B</t>
  </si>
  <si>
    <t>Trong phòng 3026</t>
  </si>
  <si>
    <t xml:space="preserve"> = phòng 3008</t>
  </si>
  <si>
    <t>Trong phòng 3025</t>
  </si>
  <si>
    <t xml:space="preserve"> = phòng 23009</t>
  </si>
  <si>
    <t>Trong phòng 3024</t>
  </si>
  <si>
    <t xml:space="preserve"> = phòng 3010</t>
  </si>
  <si>
    <t>Trong phòng 3024B</t>
  </si>
  <si>
    <t xml:space="preserve"> = phòng 3010B</t>
  </si>
  <si>
    <t>Trong phòng 3023</t>
  </si>
  <si>
    <t xml:space="preserve"> = phòng 3011</t>
  </si>
  <si>
    <t>Trong phòng 3022</t>
  </si>
  <si>
    <t xml:space="preserve"> = phòng 3012</t>
  </si>
  <si>
    <t>THEO BẢN VẼ PHÁT HÀNH 24 THÁNG 4 NĂM 2011</t>
  </si>
  <si>
    <t>SỐ</t>
  </si>
  <si>
    <t>NỘI DUNG - 
TÊN CẤU KIỆN</t>
  </si>
  <si>
    <t>KÝ
 HiỆU</t>
  </si>
  <si>
    <t xml:space="preserve">SỐ </t>
  </si>
  <si>
    <t>KÍCH THƯỚC</t>
  </si>
  <si>
    <t>Gạch nền
60x60</t>
  </si>
  <si>
    <t>Nền VS
10x10</t>
  </si>
  <si>
    <t>Lát ngạch
Cửa DR</t>
  </si>
  <si>
    <t>Lát ngạch
Cửa Dw</t>
  </si>
  <si>
    <t>Lát ngạch
Cửa Drc</t>
  </si>
  <si>
    <t>LƯỢNG</t>
  </si>
  <si>
    <t>DÀI/RỘNG</t>
  </si>
  <si>
    <t>CAO</t>
  </si>
  <si>
    <t>C1.p</t>
  </si>
  <si>
    <t>C1.c</t>
  </si>
  <si>
    <t>K1.p</t>
  </si>
  <si>
    <t>K1.c</t>
  </si>
  <si>
    <t>K2.v</t>
  </si>
  <si>
    <t>K2.o</t>
  </si>
  <si>
    <t>K3.v</t>
  </si>
  <si>
    <t>MB.v</t>
  </si>
  <si>
    <t>S3.d</t>
  </si>
  <si>
    <t>S3.v</t>
  </si>
  <si>
    <t>S3.p</t>
  </si>
  <si>
    <t>(mm)</t>
  </si>
  <si>
    <t>(m)</t>
  </si>
  <si>
    <r>
      <t>( m</t>
    </r>
    <r>
      <rPr>
        <vertAlign val="superscript"/>
        <sz val="8"/>
        <rFont val="Arial Narrow"/>
        <family val="2"/>
      </rPr>
      <t xml:space="preserve">2 </t>
    </r>
    <r>
      <rPr>
        <sz val="8"/>
        <rFont val="Arial Narrow"/>
        <family val="2"/>
      </rPr>
      <t>)</t>
    </r>
  </si>
  <si>
    <r>
      <t>( cái</t>
    </r>
    <r>
      <rPr>
        <vertAlign val="superscript"/>
        <sz val="8"/>
        <rFont val="Arial Narrow"/>
        <family val="2"/>
      </rPr>
      <t xml:space="preserve"> </t>
    </r>
    <r>
      <rPr>
        <sz val="8"/>
        <rFont val="Arial Narrow"/>
        <family val="2"/>
      </rPr>
      <t>)</t>
    </r>
  </si>
  <si>
    <t>CỘNG KHỐI LƯỢNG</t>
  </si>
  <si>
    <t>TẦNG 16-18</t>
  </si>
  <si>
    <t>Giống Tầng 20</t>
  </si>
  <si>
    <t>TẦNG 20</t>
  </si>
  <si>
    <t>PHÒNG 01 (A1)</t>
  </si>
  <si>
    <t>Thãm nền phòng</t>
  </si>
  <si>
    <t>Chân tường phòng trãi thãm</t>
  </si>
  <si>
    <t xml:space="preserve">trừ cửa </t>
  </si>
  <si>
    <t>trừ đầu giường</t>
  </si>
  <si>
    <t>Lát gạch nền phòng</t>
  </si>
  <si>
    <t>Chân tường phòng lát gạch</t>
  </si>
  <si>
    <t>trừ tủ tường</t>
  </si>
  <si>
    <t>Lát nền vệ sinh 30x60</t>
  </si>
  <si>
    <t>Lát nền vệ sinh 10x10</t>
  </si>
  <si>
    <t>Ốp tường vệ sinh 30x60</t>
  </si>
  <si>
    <t>trừ vách kính Vw</t>
  </si>
  <si>
    <t>Đầu vách bồn tắm nằm</t>
  </si>
  <si>
    <t>Hộc rèm đầu vách kính</t>
  </si>
  <si>
    <t>Ốp đá Mable</t>
  </si>
  <si>
    <t xml:space="preserve">trừ bồn </t>
  </si>
  <si>
    <t>ngạch cửa S3.1 ( 922 x 110)</t>
  </si>
  <si>
    <t>ngạch cửa S3.2 ( 806 x 110)</t>
  </si>
  <si>
    <t>PHÒNG 02 (A1)</t>
  </si>
  <si>
    <t>trừ vách kính V4</t>
  </si>
  <si>
    <t>ngạch cửa S3.3 ( 1250 x 110)</t>
  </si>
  <si>
    <t>PHÒNG 03 (A1)</t>
  </si>
  <si>
    <t>PHÒNG 04 (A1)</t>
  </si>
  <si>
    <t>PHÒNG 05 (A1)</t>
  </si>
  <si>
    <t>trừ cửa</t>
  </si>
  <si>
    <t>PHÒNG 06 (A3)</t>
  </si>
  <si>
    <t>PHÒNG 07 (A3)</t>
  </si>
  <si>
    <t>PHÒNG 08 (A3)</t>
  </si>
  <si>
    <t>PHÒNG 09+10+11 (A5)</t>
  </si>
  <si>
    <t>3p</t>
  </si>
  <si>
    <t>Giống P06+07+08 (A3) - F20</t>
  </si>
  <si>
    <t>PHÒNG 12 (A7)</t>
  </si>
  <si>
    <t>PHÒNG 14 (A7)</t>
  </si>
  <si>
    <t>PHÒNG 15 (VILLA 01)</t>
  </si>
  <si>
    <t>cầu thang</t>
  </si>
  <si>
    <t>cửa vệ sinh</t>
  </si>
  <si>
    <t>PHÒNG 16 (VILLA 01)</t>
  </si>
  <si>
    <t>PHÒNG 17 (VILLA 01)</t>
  </si>
  <si>
    <t>PHÒNG 18+19+20 (VILLA 02)</t>
  </si>
  <si>
    <t>Giống P15+16+17 (VILLA 01)</t>
  </si>
  <si>
    <t>PHÒNG 21+22 (A8)</t>
  </si>
  <si>
    <t>2p</t>
  </si>
  <si>
    <t>Giống P14+12 (A7)</t>
  </si>
  <si>
    <t>PHÒNG 23-28 (A6+A4)</t>
  </si>
  <si>
    <t>6p</t>
  </si>
  <si>
    <t>Giống A5=A3 - F20</t>
  </si>
  <si>
    <t>PHÒNG 29 (A2)</t>
  </si>
  <si>
    <t>Giống P5 (A1) - F20</t>
  </si>
  <si>
    <t>PHÒNG 30 (A2)</t>
  </si>
  <si>
    <t>Giống P4 (A1) - F20</t>
  </si>
  <si>
    <t>PHÒNG 31 (A2)</t>
  </si>
  <si>
    <t>Giống P3 (A1) - F20</t>
  </si>
  <si>
    <t>PHÒNG 32 (A2)</t>
  </si>
  <si>
    <t xml:space="preserve">trừ cửa Dw </t>
  </si>
  <si>
    <t>chân bồn tắm nằm</t>
  </si>
  <si>
    <t>trừ cửa V4</t>
  </si>
  <si>
    <t>PHÒNG 33 (A2)</t>
  </si>
  <si>
    <t>HÀNH LANG TRONG</t>
  </si>
  <si>
    <t>trừ phần lõi thang</t>
  </si>
  <si>
    <t>trừ lỗ cửa</t>
  </si>
  <si>
    <t>TẦNG 17-19</t>
  </si>
  <si>
    <t>Giống Tầng 21</t>
  </si>
  <si>
    <t>TẦNG 21</t>
  </si>
  <si>
    <t>đã trừ cửa đi 1250</t>
  </si>
  <si>
    <t>ngạch cửa S3.1 ( 922 x 110)L</t>
  </si>
  <si>
    <t>Giống P03-F20</t>
  </si>
  <si>
    <t>Giống P04-F20</t>
  </si>
  <si>
    <t>Giống P05-F20</t>
  </si>
  <si>
    <t>PHÒNG 06 +07+08 (A3)</t>
  </si>
  <si>
    <t>Giống P06+7+8 (A3)-F20</t>
  </si>
  <si>
    <t>Giống P06+07+08 (A3)</t>
  </si>
  <si>
    <t>PHÒNG 15 (A7)</t>
  </si>
  <si>
    <t>PHÒNG 16 (A7)</t>
  </si>
  <si>
    <t>PHÒNG 17+18+19+20 (A8)</t>
  </si>
  <si>
    <t>4p</t>
  </si>
  <si>
    <t>Giống P16+15+14+12 (A7)</t>
  </si>
  <si>
    <t>PHÒNG 21-26 (A6+A4)</t>
  </si>
  <si>
    <t>Giống A5=A3 - F21</t>
  </si>
  <si>
    <t>PHÒNG 27-31 (A2)</t>
  </si>
  <si>
    <t>5p</t>
  </si>
  <si>
    <t>Giống P5-P1 (A1) - F21</t>
  </si>
  <si>
    <t>TẦNG 22</t>
  </si>
  <si>
    <t>PHÒNG 01+2+3+4+5 (A1)</t>
  </si>
  <si>
    <t>giổng A1-F21</t>
  </si>
  <si>
    <t>PHÒNG 15+16+17 (VILLA 01)</t>
  </si>
  <si>
    <t>giổng VILLA 01-F20</t>
  </si>
  <si>
    <t>giổng VILLA 01-F22 (đối xứng)</t>
  </si>
  <si>
    <t>giổng A7-F22 (đối xứng)</t>
  </si>
  <si>
    <t>PHÒNG 23+28 (A6+A4)</t>
  </si>
  <si>
    <t>giổng A3-F22 (đối xứng)</t>
  </si>
  <si>
    <t>PHÒNG 29+30+31+32 (A2)</t>
  </si>
  <si>
    <t>giổng A1-F22 (đối xứng)</t>
  </si>
  <si>
    <t>TẦNG 24</t>
  </si>
  <si>
    <t>PHÒNG 17 (A8)</t>
  </si>
  <si>
    <t>PHÒNG 18 (A8)</t>
  </si>
  <si>
    <t>PHÒNG 19 (A8)</t>
  </si>
  <si>
    <t>PHÒNG 20 (A8)</t>
  </si>
  <si>
    <t>giổngP12 (A7)-F24 (đối xứng)</t>
  </si>
  <si>
    <t>PHÒNG 27-30 (A2)</t>
  </si>
  <si>
    <t>TẦNG 25</t>
  </si>
  <si>
    <t>PHÒNG 01-5 + 25-28 (A1+A2)</t>
  </si>
  <si>
    <t>PHÒNG 6-11 (A3+A5)</t>
  </si>
  <si>
    <t>giổng A3-F21</t>
  </si>
  <si>
    <t>PHÒNG 16+17+18 (A8)</t>
  </si>
  <si>
    <t>giổngP12.14.15 (A7)-F25</t>
  </si>
  <si>
    <t>PHÒNG 19+24 (A6+A4)</t>
  </si>
  <si>
    <t>giổng A3-F25 (đối xứng)</t>
  </si>
  <si>
    <t>TẦNG 26-36</t>
  </si>
  <si>
    <t>Giống Tầng 25</t>
  </si>
  <si>
    <t>TẦNG 37</t>
  </si>
  <si>
    <t>Giống P6+7+8 (A3)</t>
  </si>
  <si>
    <t>Giống P12+14+15 (A7)</t>
  </si>
  <si>
    <t>PHÒNG 19-24 (A6+A4)</t>
  </si>
  <si>
    <t>Giống A5=A3</t>
  </si>
  <si>
    <t>PHÒNG 25 (A2)</t>
  </si>
  <si>
    <t>Giống P5 (A1)</t>
  </si>
  <si>
    <t>PHÒNG 26 (A2)</t>
  </si>
  <si>
    <t>Giống P4 (A1)</t>
  </si>
  <si>
    <t>PHÒNG 27 (A2)</t>
  </si>
  <si>
    <t>Giống P3 (A1)</t>
  </si>
  <si>
    <t>PHÒNG 28 (A2)</t>
  </si>
  <si>
    <t>TẦNG 38</t>
  </si>
  <si>
    <t>Giống Tầng 37</t>
  </si>
  <si>
    <t>TẦNG 40</t>
  </si>
  <si>
    <t>NỀN PHÒNG</t>
  </si>
  <si>
    <t>H.LAN ĐỆM</t>
  </si>
  <si>
    <t>Nền VS</t>
  </si>
  <si>
    <t>KHỐI LƯỢNG CÁN NỀN (ỐP - LÁT - TRÃI THÃM)</t>
  </si>
  <si>
    <t>TẦNG 20-40</t>
  </si>
  <si>
    <t>Tô tường trong, vữa M75, dày 1,5cm</t>
  </si>
  <si>
    <t>Tô xà dầm, trần trong nhà, vữa M75, dày 1cm</t>
  </si>
  <si>
    <t>Tầng 20-41</t>
  </si>
  <si>
    <t>Trám vá đường điện- nước</t>
  </si>
  <si>
    <t>Trám vá các lỗ ống nước xuyên sàn</t>
  </si>
  <si>
    <t>Đổ BT các loại ( lanh tô …)</t>
  </si>
  <si>
    <t>m</t>
  </si>
  <si>
    <t>Xây tường gạch ống, dày 200, tường WC</t>
  </si>
  <si>
    <t xml:space="preserve">Xây tường gạch ống, dày 100, hộp kỹ thuật </t>
  </si>
  <si>
    <t xml:space="preserve">Xây tường trong, dày 250~ 350, </t>
  </si>
  <si>
    <t>Tổng(20-41)trừ 38</t>
  </si>
  <si>
    <t>tầng 20-26</t>
  </si>
  <si>
    <t>tầng 26-34</t>
  </si>
  <si>
    <t>Khối lượng chống thấm</t>
  </si>
  <si>
    <t>Công việc: Chống thấm</t>
  </si>
  <si>
    <t>Rộng
[w]</t>
  </si>
  <si>
    <t>Cao
(h)</t>
  </si>
  <si>
    <t>Diện tích
m2 ©</t>
  </si>
  <si>
    <t>Tổng 38,39</t>
  </si>
  <si>
    <t>Tầng 39=tầng 38</t>
  </si>
  <si>
    <t>Tầng 38</t>
  </si>
  <si>
    <t>Toilet phòng 01</t>
  </si>
  <si>
    <t>Nền toilet</t>
  </si>
  <si>
    <t>trừ hộp gen</t>
  </si>
  <si>
    <t>tường vách kính</t>
  </si>
  <si>
    <t>tường bồn tắm</t>
  </si>
  <si>
    <t>Chân tường</t>
  </si>
  <si>
    <t>Chân tường ngăn</t>
  </si>
  <si>
    <t>Toilet phòng 32A=p01</t>
  </si>
  <si>
    <t>Toilet phòng 02</t>
  </si>
  <si>
    <t>Toilet phòng 32B</t>
  </si>
  <si>
    <t xml:space="preserve">diện tích tường </t>
  </si>
  <si>
    <t>toilet phòng 03</t>
  </si>
  <si>
    <t>Toilet phòng 31=p03</t>
  </si>
  <si>
    <t>Toilet phòng 04</t>
  </si>
  <si>
    <t>Toilet phòng 30=p04</t>
  </si>
  <si>
    <t>Toilet phòng 05</t>
  </si>
  <si>
    <t>Toilet phòng 29=p05</t>
  </si>
  <si>
    <t>Toilet phòng 06</t>
  </si>
  <si>
    <t>Toilet phòng 28=p06</t>
  </si>
  <si>
    <t>Toilet phòng 07A</t>
  </si>
  <si>
    <t>tường toilet</t>
  </si>
  <si>
    <t>Toilet phòng 27A=p07A</t>
  </si>
  <si>
    <t>Toilet phòng 07B</t>
  </si>
  <si>
    <t>Toilet phòng 27B=p07B</t>
  </si>
  <si>
    <t>Toilet phòng 08</t>
  </si>
  <si>
    <t>Toilet phòng 26=p08</t>
  </si>
  <si>
    <t>Toilet phòng 09</t>
  </si>
  <si>
    <t>Toilet phòng 25=p09</t>
  </si>
  <si>
    <t>Toilet phòng 10A</t>
  </si>
  <si>
    <t>Toilet phòng 24A=p10A</t>
  </si>
  <si>
    <t>Toilet phòng 10B</t>
  </si>
  <si>
    <t>Toilet phòng 24B=p10B</t>
  </si>
  <si>
    <t>Toilet phòng 11</t>
  </si>
  <si>
    <t>Toilet phòng 23=p11</t>
  </si>
  <si>
    <t>Toilet phòng 12</t>
  </si>
  <si>
    <t>Toilet phòng 22=p12</t>
  </si>
  <si>
    <t>Toilet phòng 14-1</t>
  </si>
  <si>
    <t>Toilet phòng 21-1=p14-1</t>
  </si>
  <si>
    <t>Toilet phòng 14-2</t>
  </si>
  <si>
    <t>Toilet phòng 21-2=p14-2</t>
  </si>
  <si>
    <t>Toilet phòng 15</t>
  </si>
  <si>
    <t>Toilet phòng 20=p15</t>
  </si>
  <si>
    <t>NGŨ THƯỜNG</t>
  </si>
  <si>
    <t>Bạch Văn Luân</t>
  </si>
  <si>
    <t>CÔNG TÁC ỐP-LÁT</t>
  </si>
  <si>
    <t>Lát nền gạch Mosaic 30x30 (nền vệ sinh)</t>
  </si>
  <si>
    <t>Ốp tường gạch 30x60 (tường vệ sinh)</t>
  </si>
  <si>
    <t>Lát nền Gạch 30x60 (nền vệ sinh)</t>
  </si>
  <si>
    <t>Lát nền gạch Ceramic 60x60 (nền hành lang)</t>
  </si>
  <si>
    <t>Lát nền gạch men 60x60 (nền ban công T40-41)</t>
  </si>
  <si>
    <t>Ốp tường gạch men 30x30 (bể nước T26-mái)</t>
  </si>
  <si>
    <t>KHỐI 
LƯỢNG</t>
  </si>
  <si>
    <t>CÔNG TÁC CHỐNG THẤM</t>
  </si>
  <si>
    <t>Cán nền phòng vệ sinh, dày Tb: 4 cm</t>
  </si>
  <si>
    <t>G.ốp 30x60</t>
  </si>
  <si>
    <t>KEO 
DÁN</t>
  </si>
  <si>
    <t>BỘT 
JON</t>
  </si>
  <si>
    <t>XI 
MĂNG</t>
  </si>
  <si>
    <t>CÁT
 Tô</t>
  </si>
  <si>
    <t>CÁT 
Xây</t>
  </si>
  <si>
    <t>ĐÁ 
1x2</t>
  </si>
  <si>
    <t>GẠCH
ỐNG</t>
  </si>
  <si>
    <t>GẠCH 
THẺ</t>
  </si>
  <si>
    <t>(m3)</t>
  </si>
  <si>
    <t>(Viên)</t>
  </si>
  <si>
    <t>(Kg)</t>
  </si>
  <si>
    <t>G.lát 30x30</t>
  </si>
  <si>
    <t>G.lát 1 60x60</t>
  </si>
  <si>
    <t>G.lát 2 60x60</t>
  </si>
  <si>
    <t>Chống thấm phòng vệ sinh</t>
  </si>
  <si>
    <t>Chống thấm bể nước</t>
  </si>
  <si>
    <t>Chống thấm mái- ban công</t>
  </si>
  <si>
    <t>Tầng 26-mái</t>
  </si>
  <si>
    <t>26-40-41-KT-mái</t>
  </si>
  <si>
    <t>Mapei plastic</t>
  </si>
  <si>
    <t xml:space="preserve"> Mapei 2k</t>
  </si>
  <si>
    <t>Mapei Planicrete SP</t>
  </si>
  <si>
    <t>KHỐI LƯỢNG VẬT TƯ ỐP - LÁT - KHỐI PHÒNG NGŨ</t>
  </si>
  <si>
    <t>THEO BẢN VẼ MỚI NGÀY 29 THÁNG 10 NĂM 2011</t>
  </si>
  <si>
    <t>DIỆN TÍCH TÍNH TOÁN (m2)</t>
  </si>
  <si>
    <t>SỐ LƯỢNG GẠCH (Viên)</t>
  </si>
  <si>
    <t>SL GẠCH (Thùng)</t>
  </si>
  <si>
    <t>SỐ
TT</t>
  </si>
  <si>
    <t>NỘI DUNG</t>
  </si>
  <si>
    <t>Đá
60x60</t>
  </si>
  <si>
    <t>Gạch* 
60x60</t>
  </si>
  <si>
    <t>Nền
 VS 30x60</t>
  </si>
  <si>
    <t>Tường
 VS 30x60</t>
  </si>
  <si>
    <t>Nền VS
30x30</t>
  </si>
  <si>
    <t>Gạch 
60x60</t>
  </si>
  <si>
    <t>Gạch
30x60</t>
  </si>
  <si>
    <t>Gạch
30x30</t>
  </si>
  <si>
    <r>
      <t>( m</t>
    </r>
    <r>
      <rPr>
        <vertAlign val="superscript"/>
        <sz val="10"/>
        <rFont val="Arial Narrow"/>
        <family val="2"/>
      </rPr>
      <t xml:space="preserve">2 </t>
    </r>
    <r>
      <rPr>
        <sz val="10"/>
        <rFont val="Arial Narrow"/>
        <family val="2"/>
      </rPr>
      <t>)</t>
    </r>
  </si>
  <si>
    <t>( viên)</t>
  </si>
  <si>
    <t>(T/4v)</t>
  </si>
  <si>
    <t>(T/8v)</t>
  </si>
  <si>
    <t>( T/11v)</t>
  </si>
  <si>
    <t>TỔNG CỘNG:</t>
  </si>
  <si>
    <t>CỘNG Tầng 09 đến tầng 19</t>
  </si>
  <si>
    <t>CỘNG Tầng 20 đến tầng 39</t>
  </si>
  <si>
    <t>CỘNG Tầng 40 đến tầng 41</t>
  </si>
  <si>
    <t xml:space="preserve">Định mức vật tư </t>
  </si>
  <si>
    <t>Vữa dán dày 5mm</t>
  </si>
  <si>
    <t>Vữa dán dày 3mm</t>
  </si>
  <si>
    <t>Gạch ốp (m2)</t>
  </si>
  <si>
    <t>Xi Măng (kg)</t>
  </si>
  <si>
    <t>Keo dán (=30% XM) (kg)</t>
  </si>
  <si>
    <t>Bột ron (kg)</t>
  </si>
  <si>
    <t>TỔNG HỢP HAO PHÍ VẬT TƯ</t>
  </si>
  <si>
    <t>Keo dán (kg)</t>
  </si>
  <si>
    <t>KHỐI LƯỢNG ĐÃ NHẬP (TÍNH ĐẾN 14/11/2011)</t>
  </si>
  <si>
    <t>KHỐI LƯỢNG CẦN PHẢI NHẬP THÊM</t>
  </si>
  <si>
    <t>NGƯỜI LẬP</t>
  </si>
  <si>
    <t>BAN QUẢN LÝ DỰ ÁN</t>
  </si>
  <si>
    <t>LÊ ANH TUẤN</t>
  </si>
  <si>
    <t>Lát nền đá 60x60 (nền phòng tầng 40)</t>
  </si>
  <si>
    <t>Tô cột vách trong nhà, vữa M75, dày 1,5cm</t>
  </si>
  <si>
    <t>Cán nền phòng &amp; hành lang, dày Tb: 2,5cm</t>
  </si>
  <si>
    <t>Xây kết cấu phức tạp, bệ bồn tắm</t>
  </si>
  <si>
    <t>Đá lát 60x60</t>
  </si>
  <si>
    <t>G.tàu 30x30</t>
  </si>
  <si>
    <t>Men ốp 30x30</t>
  </si>
  <si>
    <t>G.ốp 
30x60</t>
  </si>
  <si>
    <t>SỐ LƯỢNG CÒN LẠI (CẦN NHẬP)</t>
  </si>
  <si>
    <t>SỐ LƯỢNG ĐÃ NHẬP (Đến ngày 24/11/2011)</t>
  </si>
  <si>
    <t xml:space="preserve">TỔNG SỐ LƯỢNG DỰ TRÙ </t>
  </si>
  <si>
    <t>(Bộ)</t>
  </si>
  <si>
    <t>(Can)</t>
  </si>
  <si>
    <t>Lát nền gạch tàu 30x30 (T26-KT2-mái)</t>
  </si>
</sst>
</file>

<file path=xl/styles.xml><?xml version="1.0" encoding="utf-8"?>
<styleSheet xmlns="http://schemas.openxmlformats.org/spreadsheetml/2006/main">
  <numFmts count="18">
    <numFmt numFmtId="43" formatCode="_(* #,##0.00_);_(* \(#,##0.00\);_(* &quot;-&quot;??_);_(@_)"/>
    <numFmt numFmtId="164" formatCode="_(* #,##0.000_);_(* \(#,##0.000\);_(* &quot;-&quot;??_);_(@_)"/>
    <numFmt numFmtId="165" formatCode="0\ &quot;Tầng&quot;"/>
    <numFmt numFmtId="166" formatCode="_(* #,##0.0_);_(* \(#,##0.0\);_(* &quot;-&quot;?_);_(@_)"/>
    <numFmt numFmtId="167" formatCode="#,##0.0"/>
    <numFmt numFmtId="168" formatCode="_(* #,##0_);_(* \(#,##0\);_(* &quot;-&quot;??_);_(@_)"/>
    <numFmt numFmtId="169" formatCode="0_);[Red]\(0\)"/>
    <numFmt numFmtId="170" formatCode="0.00_);[Red]\(0.00\)"/>
    <numFmt numFmtId="171" formatCode="0.0"/>
    <numFmt numFmtId="172" formatCode="\(0\)"/>
    <numFmt numFmtId="173" formatCode="#,##0.00;[Red]#,##0.00"/>
    <numFmt numFmtId="174" formatCode="0.000"/>
    <numFmt numFmtId="175" formatCode="_(* #,##0.0_);_(* \(#,##0.0\);_(* &quot;-&quot;??_);_(@_)"/>
    <numFmt numFmtId="176" formatCode="0_);\(0\)"/>
    <numFmt numFmtId="177" formatCode="0.00\ "/>
    <numFmt numFmtId="178" formatCode="_(* #,##0.00_);_(* \(#,##0.00\);_(* &quot;-&quot;?_);_(@_)"/>
    <numFmt numFmtId="179" formatCode="0.0\ "/>
    <numFmt numFmtId="180" formatCode="0.00_);\(0.00\)"/>
  </numFmts>
  <fonts count="95"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rgb="FF0070C0"/>
      <name val="Arial Narrow"/>
      <family val="2"/>
    </font>
    <font>
      <b/>
      <i/>
      <sz val="10"/>
      <color rgb="FFFF0000"/>
      <name val="Arial Narrow"/>
      <family val="2"/>
    </font>
    <font>
      <sz val="10"/>
      <name val="Arial Narrow"/>
      <family val="2"/>
    </font>
    <font>
      <b/>
      <i/>
      <sz val="10"/>
      <color rgb="FF0070C0"/>
      <name val="Arial Narrow"/>
      <family val="2"/>
    </font>
    <font>
      <b/>
      <sz val="10"/>
      <name val="Arial Narrow"/>
      <family val="2"/>
    </font>
    <font>
      <b/>
      <sz val="10"/>
      <color rgb="FFFF0000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rgb="FFC0000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4"/>
      <color theme="1"/>
      <name val="Arial Narrow"/>
      <family val="2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i/>
      <sz val="10"/>
      <color rgb="FFFF0000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sz val="11"/>
      <color theme="1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9"/>
      <name val="Arial Narrow"/>
      <family val="2"/>
    </font>
    <font>
      <sz val="11"/>
      <name val="Arial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4"/>
      <name val="Times New Roman"/>
      <family val="1"/>
    </font>
    <font>
      <sz val="8"/>
      <name val="Arial Narrow"/>
      <family val="2"/>
    </font>
    <font>
      <b/>
      <sz val="8"/>
      <name val="Arial Narrow"/>
      <family val="2"/>
    </font>
    <font>
      <sz val="8"/>
      <color theme="1"/>
      <name val="Arial"/>
      <family val="2"/>
    </font>
    <font>
      <vertAlign val="superscript"/>
      <sz val="8"/>
      <name val="Arial Narrow"/>
      <family val="2"/>
    </font>
    <font>
      <sz val="9"/>
      <name val="Arial Narrow"/>
      <family val="2"/>
    </font>
    <font>
      <sz val="9"/>
      <color rgb="FFFF0000"/>
      <name val="Arial Narrow"/>
      <family val="2"/>
    </font>
    <font>
      <sz val="9"/>
      <color theme="1"/>
      <name val="Arial"/>
      <family val="2"/>
    </font>
    <font>
      <b/>
      <u/>
      <sz val="10"/>
      <name val="Arial Narrow"/>
      <family val="2"/>
    </font>
    <font>
      <b/>
      <sz val="8"/>
      <color rgb="FFC00000"/>
      <name val="Arial Narrow"/>
      <family val="2"/>
    </font>
    <font>
      <b/>
      <sz val="11"/>
      <color rgb="FFC00000"/>
      <name val="Arial"/>
      <family val="2"/>
    </font>
    <font>
      <b/>
      <sz val="11"/>
      <name val="Arial"/>
      <family val="2"/>
    </font>
    <font>
      <b/>
      <sz val="8"/>
      <color rgb="FFFF0000"/>
      <name val="Arial Narrow"/>
      <family val="2"/>
    </font>
    <font>
      <b/>
      <sz val="11"/>
      <color rgb="FFFF0000"/>
      <name val="Arial"/>
      <family val="2"/>
    </font>
    <font>
      <b/>
      <i/>
      <sz val="10"/>
      <color rgb="FFC00000"/>
      <name val="Arial Narrow"/>
      <family val="2"/>
    </font>
    <font>
      <b/>
      <sz val="11"/>
      <color theme="1"/>
      <name val="Arial"/>
      <family val="2"/>
    </font>
    <font>
      <b/>
      <sz val="8"/>
      <color indexed="12"/>
      <name val="Tahoma"/>
      <family val="2"/>
    </font>
    <font>
      <b/>
      <sz val="8"/>
      <color indexed="81"/>
      <name val="Tahoma"/>
      <family val="2"/>
    </font>
    <font>
      <b/>
      <sz val="8"/>
      <color indexed="10"/>
      <name val="Tahoma"/>
      <family val="2"/>
    </font>
    <font>
      <sz val="8"/>
      <color indexed="10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rgb="FFFF0000"/>
      <name val="Times New Roman"/>
      <family val="1"/>
    </font>
    <font>
      <sz val="11"/>
      <name val="Times New Roman"/>
      <family val="1"/>
    </font>
    <font>
      <b/>
      <i/>
      <sz val="9"/>
      <color rgb="FFFF0000"/>
      <name val="Arial Narrow"/>
      <family val="2"/>
    </font>
    <font>
      <b/>
      <sz val="12"/>
      <name val="Arial Narrow"/>
      <family val="2"/>
    </font>
    <font>
      <b/>
      <i/>
      <sz val="10"/>
      <name val="Arial Narrow"/>
      <family val="2"/>
    </font>
    <font>
      <b/>
      <i/>
      <sz val="9"/>
      <name val="Arial Narrow"/>
      <family val="2"/>
    </font>
    <font>
      <b/>
      <sz val="16"/>
      <color theme="1"/>
      <name val="Arial Narrow"/>
      <family val="2"/>
    </font>
    <font>
      <b/>
      <sz val="16"/>
      <name val="Times New Roman"/>
      <family val="1"/>
    </font>
    <font>
      <sz val="12"/>
      <color theme="1"/>
      <name val="Arial"/>
      <family val="2"/>
    </font>
    <font>
      <b/>
      <sz val="11"/>
      <color rgb="FFC00000"/>
      <name val="Arial Narrow"/>
      <family val="2"/>
    </font>
    <font>
      <b/>
      <sz val="11"/>
      <color rgb="FFFF0000"/>
      <name val="Arial Narrow"/>
      <family val="2"/>
    </font>
    <font>
      <vertAlign val="superscript"/>
      <sz val="10"/>
      <name val="Arial Narrow"/>
      <family val="2"/>
    </font>
    <font>
      <sz val="10"/>
      <color theme="1"/>
      <name val="Arial"/>
      <family val="2"/>
    </font>
    <font>
      <b/>
      <sz val="12"/>
      <color rgb="FFFF0000"/>
      <name val="Arial Narrow"/>
      <family val="2"/>
    </font>
    <font>
      <b/>
      <sz val="12"/>
      <color rgb="FFFF0000"/>
      <name val="Arial"/>
      <family val="2"/>
    </font>
    <font>
      <sz val="12"/>
      <name val="Arial Narrow"/>
      <family val="2"/>
    </font>
    <font>
      <b/>
      <sz val="11"/>
      <color rgb="FF0070C0"/>
      <name val="Arial Narrow"/>
      <family val="2"/>
    </font>
    <font>
      <sz val="11"/>
      <color rgb="FF0070C0"/>
      <name val="Arial Narrow"/>
      <family val="2"/>
    </font>
    <font>
      <b/>
      <sz val="12"/>
      <color rgb="FF002060"/>
      <name val="Arial Narrow"/>
      <family val="2"/>
    </font>
    <font>
      <sz val="12"/>
      <color rgb="FF002060"/>
      <name val="Arial Narrow"/>
      <family val="2"/>
    </font>
    <font>
      <sz val="12"/>
      <color rgb="FF002060"/>
      <name val="Arial"/>
      <family val="2"/>
    </font>
    <font>
      <b/>
      <sz val="12"/>
      <color theme="1"/>
      <name val="Arial"/>
      <family val="2"/>
    </font>
    <font>
      <sz val="12"/>
      <color rgb="FFC00000"/>
      <name val="Arial Narrow"/>
      <family val="2"/>
    </font>
    <font>
      <sz val="12"/>
      <color rgb="FFFF0000"/>
      <name val="Arial Narrow"/>
      <family val="2"/>
    </font>
    <font>
      <b/>
      <i/>
      <sz val="11"/>
      <color rgb="FFFF0000"/>
      <name val="Arial Narrow"/>
      <family val="2"/>
    </font>
    <font>
      <b/>
      <i/>
      <sz val="11"/>
      <name val="Arial Narrow"/>
      <family val="2"/>
    </font>
    <font>
      <b/>
      <i/>
      <sz val="8"/>
      <name val="Arial Narrow"/>
      <family val="2"/>
    </font>
    <font>
      <b/>
      <sz val="12"/>
      <color rgb="FF0070C0"/>
      <name val="Arial Narrow"/>
      <family val="2"/>
    </font>
    <font>
      <b/>
      <i/>
      <sz val="11"/>
      <color rgb="FF0070C0"/>
      <name val="Arial Narrow"/>
      <family val="2"/>
    </font>
    <font>
      <b/>
      <i/>
      <sz val="9"/>
      <color rgb="FF0070C0"/>
      <name val="Arial Narrow"/>
      <family val="2"/>
    </font>
    <font>
      <sz val="11"/>
      <color rgb="FFC00000"/>
      <name val="Arial Narrow"/>
      <family val="2"/>
    </font>
    <font>
      <b/>
      <sz val="12"/>
      <color rgb="FFC00000"/>
      <name val="Arial Narrow"/>
      <family val="2"/>
    </font>
    <font>
      <b/>
      <i/>
      <sz val="11"/>
      <color rgb="FFC00000"/>
      <name val="Arial Narrow"/>
      <family val="2"/>
    </font>
    <font>
      <b/>
      <i/>
      <sz val="9"/>
      <color rgb="FFC00000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9" fillId="0" borderId="0" applyFont="0" applyFill="0" applyBorder="0" applyAlignment="0" applyProtection="0"/>
  </cellStyleXfs>
  <cellXfs count="537">
    <xf numFmtId="0" fontId="0" fillId="0" borderId="0" xfId="0"/>
    <xf numFmtId="0" fontId="4" fillId="0" borderId="0" xfId="0" applyFont="1" applyBorder="1" applyAlignment="1"/>
    <xf numFmtId="0" fontId="5" fillId="0" borderId="0" xfId="0" applyFont="1" applyBorder="1" applyAlignme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/>
    <xf numFmtId="0" fontId="1" fillId="0" borderId="0" xfId="0" applyFont="1"/>
    <xf numFmtId="3" fontId="9" fillId="2" borderId="3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3" fontId="10" fillId="2" borderId="3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165" fontId="11" fillId="4" borderId="3" xfId="0" applyNumberFormat="1" applyFont="1" applyFill="1" applyBorder="1" applyAlignment="1">
      <alignment horizontal="center"/>
    </xf>
    <xf numFmtId="0" fontId="3" fillId="0" borderId="0" xfId="0" applyFont="1"/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166" fontId="5" fillId="3" borderId="8" xfId="0" applyNumberFormat="1" applyFont="1" applyFill="1" applyBorder="1" applyAlignment="1">
      <alignment vertical="center"/>
    </xf>
    <xf numFmtId="166" fontId="13" fillId="0" borderId="7" xfId="0" applyNumberFormat="1" applyFont="1" applyBorder="1" applyAlignment="1">
      <alignment vertical="center"/>
    </xf>
    <xf numFmtId="166" fontId="14" fillId="0" borderId="8" xfId="0" applyNumberFormat="1" applyFont="1" applyBorder="1" applyAlignment="1">
      <alignment vertical="center"/>
    </xf>
    <xf numFmtId="166" fontId="13" fillId="0" borderId="8" xfId="0" applyNumberFormat="1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166" fontId="5" fillId="3" borderId="9" xfId="0" applyNumberFormat="1" applyFont="1" applyFill="1" applyBorder="1" applyAlignment="1">
      <alignment vertical="center"/>
    </xf>
    <xf numFmtId="166" fontId="13" fillId="0" borderId="9" xfId="0" applyNumberFormat="1" applyFont="1" applyBorder="1" applyAlignment="1">
      <alignment vertical="center"/>
    </xf>
    <xf numFmtId="166" fontId="14" fillId="0" borderId="9" xfId="0" applyNumberFormat="1" applyFont="1" applyBorder="1" applyAlignment="1">
      <alignment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67" fontId="13" fillId="0" borderId="0" xfId="0" applyNumberFormat="1" applyFont="1" applyAlignment="1">
      <alignment vertical="center"/>
    </xf>
    <xf numFmtId="167" fontId="14" fillId="0" borderId="0" xfId="0" applyNumberFormat="1" applyFont="1" applyAlignment="1">
      <alignment vertical="center"/>
    </xf>
    <xf numFmtId="3" fontId="8" fillId="3" borderId="3" xfId="0" applyNumberFormat="1" applyFont="1" applyFill="1" applyBorder="1" applyAlignment="1">
      <alignment horizontal="center" vertical="center" wrapText="1"/>
    </xf>
    <xf numFmtId="43" fontId="14" fillId="0" borderId="8" xfId="0" applyNumberFormat="1" applyFont="1" applyBorder="1" applyAlignment="1">
      <alignment vertical="center"/>
    </xf>
    <xf numFmtId="0" fontId="18" fillId="0" borderId="0" xfId="0" applyFont="1" applyBorder="1"/>
    <xf numFmtId="0" fontId="5" fillId="2" borderId="4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6" fontId="13" fillId="0" borderId="8" xfId="0" applyNumberFormat="1" applyFont="1" applyBorder="1" applyAlignment="1">
      <alignment horizontal="center" vertical="center"/>
    </xf>
    <xf numFmtId="9" fontId="13" fillId="0" borderId="8" xfId="0" applyNumberFormat="1" applyFont="1" applyBorder="1" applyAlignment="1">
      <alignment horizontal="center" vertical="center"/>
    </xf>
    <xf numFmtId="9" fontId="14" fillId="0" borderId="8" xfId="0" applyNumberFormat="1" applyFont="1" applyBorder="1" applyAlignment="1">
      <alignment horizontal="center" vertical="center"/>
    </xf>
    <xf numFmtId="9" fontId="13" fillId="0" borderId="9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/>
    </xf>
    <xf numFmtId="0" fontId="20" fillId="0" borderId="0" xfId="0" applyFont="1" applyFill="1" applyBorder="1" applyAlignment="1"/>
    <xf numFmtId="0" fontId="21" fillId="0" borderId="0" xfId="0" applyFont="1" applyFill="1" applyBorder="1" applyAlignment="1"/>
    <xf numFmtId="169" fontId="21" fillId="0" borderId="0" xfId="0" applyNumberFormat="1" applyFont="1" applyFill="1" applyBorder="1" applyAlignment="1"/>
    <xf numFmtId="43" fontId="21" fillId="0" borderId="0" xfId="1" applyNumberFormat="1" applyFont="1" applyFill="1" applyBorder="1" applyAlignment="1">
      <alignment horizontal="center"/>
    </xf>
    <xf numFmtId="164" fontId="20" fillId="0" borderId="0" xfId="1" applyNumberFormat="1" applyFont="1" applyFill="1" applyBorder="1" applyAlignment="1">
      <alignment horizontal="center" vertical="center" wrapText="1"/>
    </xf>
    <xf numFmtId="164" fontId="21" fillId="0" borderId="0" xfId="1" applyNumberFormat="1" applyFont="1" applyFill="1" applyBorder="1" applyAlignment="1">
      <alignment horizontal="center"/>
    </xf>
    <xf numFmtId="43" fontId="22" fillId="0" borderId="0" xfId="1" applyNumberFormat="1" applyFont="1" applyFill="1" applyBorder="1" applyAlignment="1">
      <alignment horizontal="right"/>
    </xf>
    <xf numFmtId="43" fontId="21" fillId="0" borderId="0" xfId="1" applyNumberFormat="1" applyFont="1" applyFill="1" applyBorder="1" applyAlignment="1">
      <alignment horizontal="right"/>
    </xf>
    <xf numFmtId="14" fontId="21" fillId="0" borderId="0" xfId="0" applyNumberFormat="1" applyFont="1" applyFill="1" applyBorder="1" applyAlignment="1">
      <alignment horizontal="left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169" fontId="21" fillId="0" borderId="0" xfId="0" applyNumberFormat="1" applyFont="1" applyFill="1" applyBorder="1" applyAlignment="1">
      <alignment vertical="center"/>
    </xf>
    <xf numFmtId="43" fontId="21" fillId="0" borderId="0" xfId="1" applyNumberFormat="1" applyFont="1" applyFill="1" applyBorder="1" applyAlignment="1">
      <alignment horizontal="center" vertical="center"/>
    </xf>
    <xf numFmtId="164" fontId="21" fillId="0" borderId="0" xfId="1" applyNumberFormat="1" applyFont="1" applyFill="1" applyBorder="1" applyAlignment="1">
      <alignment horizontal="center" vertical="center"/>
    </xf>
    <xf numFmtId="43" fontId="20" fillId="0" borderId="0" xfId="1" applyNumberFormat="1" applyFont="1" applyFill="1" applyBorder="1" applyAlignment="1">
      <alignment horizontal="center" vertical="center"/>
    </xf>
    <xf numFmtId="164" fontId="20" fillId="5" borderId="3" xfId="1" applyNumberFormat="1" applyFont="1" applyFill="1" applyBorder="1" applyAlignment="1">
      <alignment horizontal="center" vertical="center" wrapText="1"/>
    </xf>
    <xf numFmtId="169" fontId="23" fillId="5" borderId="4" xfId="0" applyNumberFormat="1" applyFont="1" applyFill="1" applyBorder="1" applyAlignment="1">
      <alignment horizontal="center" vertical="center" wrapText="1"/>
    </xf>
    <xf numFmtId="172" fontId="24" fillId="5" borderId="19" xfId="0" applyNumberFormat="1" applyFont="1" applyFill="1" applyBorder="1" applyAlignment="1">
      <alignment horizontal="center" vertical="center"/>
    </xf>
    <xf numFmtId="172" fontId="24" fillId="5" borderId="3" xfId="0" applyNumberFormat="1" applyFont="1" applyFill="1" applyBorder="1" applyAlignment="1">
      <alignment horizontal="center" vertical="center"/>
    </xf>
    <xf numFmtId="172" fontId="24" fillId="5" borderId="20" xfId="0" applyNumberFormat="1" applyFont="1" applyFill="1" applyBorder="1" applyAlignment="1">
      <alignment horizontal="center" vertical="center"/>
    </xf>
    <xf numFmtId="172" fontId="24" fillId="4" borderId="21" xfId="0" applyNumberFormat="1" applyFont="1" applyFill="1" applyBorder="1" applyAlignment="1">
      <alignment horizontal="center" vertical="center"/>
    </xf>
    <xf numFmtId="172" fontId="25" fillId="4" borderId="6" xfId="0" applyNumberFormat="1" applyFont="1" applyFill="1" applyBorder="1" applyAlignment="1">
      <alignment horizontal="center" vertical="center"/>
    </xf>
    <xf numFmtId="172" fontId="26" fillId="4" borderId="6" xfId="0" applyNumberFormat="1" applyFont="1" applyFill="1" applyBorder="1" applyAlignment="1">
      <alignment horizontal="center" vertical="center"/>
    </xf>
    <xf numFmtId="173" fontId="23" fillId="4" borderId="6" xfId="0" applyNumberFormat="1" applyFont="1" applyFill="1" applyBorder="1" applyAlignment="1">
      <alignment horizontal="right" vertical="center"/>
    </xf>
    <xf numFmtId="172" fontId="26" fillId="4" borderId="22" xfId="0" applyNumberFormat="1" applyFont="1" applyFill="1" applyBorder="1" applyAlignment="1">
      <alignment horizontal="center" vertical="center"/>
    </xf>
    <xf numFmtId="3" fontId="23" fillId="6" borderId="23" xfId="0" applyNumberFormat="1" applyFont="1" applyFill="1" applyBorder="1" applyAlignment="1">
      <alignment horizontal="center" vertical="center"/>
    </xf>
    <xf numFmtId="3" fontId="20" fillId="6" borderId="5" xfId="0" applyNumberFormat="1" applyFont="1" applyFill="1" applyBorder="1" applyAlignment="1">
      <alignment horizontal="left" vertical="center"/>
    </xf>
    <xf numFmtId="169" fontId="23" fillId="6" borderId="5" xfId="0" applyNumberFormat="1" applyFont="1" applyFill="1" applyBorder="1" applyAlignment="1">
      <alignment horizontal="center" vertical="center" wrapText="1"/>
    </xf>
    <xf numFmtId="164" fontId="20" fillId="6" borderId="5" xfId="1" applyNumberFormat="1" applyFont="1" applyFill="1" applyBorder="1" applyAlignment="1">
      <alignment horizontal="center" vertical="center" wrapText="1"/>
    </xf>
    <xf numFmtId="3" fontId="23" fillId="6" borderId="5" xfId="0" applyNumberFormat="1" applyFont="1" applyFill="1" applyBorder="1" applyAlignment="1">
      <alignment horizontal="center" vertical="center" wrapText="1"/>
    </xf>
    <xf numFmtId="43" fontId="23" fillId="6" borderId="5" xfId="1" applyFont="1" applyFill="1" applyBorder="1" applyAlignment="1">
      <alignment horizontal="right" vertical="center" wrapText="1"/>
    </xf>
    <xf numFmtId="164" fontId="23" fillId="6" borderId="24" xfId="1" applyNumberFormat="1" applyFont="1" applyFill="1" applyBorder="1" applyAlignment="1">
      <alignment horizontal="center" vertical="center" wrapText="1"/>
    </xf>
    <xf numFmtId="0" fontId="20" fillId="0" borderId="25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vertical="center"/>
    </xf>
    <xf numFmtId="169" fontId="20" fillId="0" borderId="7" xfId="1" applyNumberFormat="1" applyFont="1" applyFill="1" applyBorder="1" applyAlignment="1">
      <alignment vertical="center"/>
    </xf>
    <xf numFmtId="174" fontId="20" fillId="0" borderId="7" xfId="1" applyNumberFormat="1" applyFont="1" applyFill="1" applyBorder="1" applyAlignment="1">
      <alignment vertical="center"/>
    </xf>
    <xf numFmtId="175" fontId="20" fillId="0" borderId="7" xfId="1" applyNumberFormat="1" applyFont="1" applyFill="1" applyBorder="1" applyAlignment="1">
      <alignment horizontal="center" vertical="center"/>
    </xf>
    <xf numFmtId="43" fontId="20" fillId="0" borderId="7" xfId="1" applyNumberFormat="1" applyFont="1" applyFill="1" applyBorder="1" applyAlignment="1">
      <alignment vertical="center"/>
    </xf>
    <xf numFmtId="43" fontId="20" fillId="0" borderId="7" xfId="1" applyFont="1" applyFill="1" applyBorder="1" applyAlignment="1">
      <alignment vertical="center"/>
    </xf>
    <xf numFmtId="168" fontId="20" fillId="0" borderId="26" xfId="1" applyNumberFormat="1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21" fillId="0" borderId="25" xfId="0" applyFont="1" applyFill="1" applyBorder="1" applyAlignment="1">
      <alignment horizontal="center" vertical="center"/>
    </xf>
    <xf numFmtId="0" fontId="27" fillId="0" borderId="7" xfId="0" applyFont="1" applyBorder="1" applyAlignment="1"/>
    <xf numFmtId="16" fontId="21" fillId="0" borderId="7" xfId="0" applyNumberFormat="1" applyFont="1" applyFill="1" applyBorder="1" applyAlignment="1">
      <alignment vertical="center"/>
    </xf>
    <xf numFmtId="169" fontId="21" fillId="0" borderId="7" xfId="1" applyNumberFormat="1" applyFont="1" applyFill="1" applyBorder="1" applyAlignment="1">
      <alignment vertical="center"/>
    </xf>
    <xf numFmtId="2" fontId="21" fillId="0" borderId="7" xfId="1" applyNumberFormat="1" applyFont="1" applyFill="1" applyBorder="1" applyAlignment="1">
      <alignment horizontal="right" vertical="center"/>
    </xf>
    <xf numFmtId="175" fontId="21" fillId="0" borderId="7" xfId="1" applyNumberFormat="1" applyFont="1" applyFill="1" applyBorder="1" applyAlignment="1">
      <alignment horizontal="right" vertical="center"/>
    </xf>
    <xf numFmtId="43" fontId="21" fillId="0" borderId="7" xfId="1" applyNumberFormat="1" applyFont="1" applyFill="1" applyBorder="1" applyAlignment="1">
      <alignment vertical="center"/>
    </xf>
    <xf numFmtId="170" fontId="21" fillId="0" borderId="7" xfId="1" applyNumberFormat="1" applyFont="1" applyFill="1" applyBorder="1" applyAlignment="1">
      <alignment vertical="center"/>
    </xf>
    <xf numFmtId="168" fontId="21" fillId="0" borderId="26" xfId="1" applyNumberFormat="1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21" fillId="0" borderId="7" xfId="0" applyFont="1" applyFill="1" applyBorder="1" applyAlignment="1">
      <alignment horizontal="left" vertical="center"/>
    </xf>
    <xf numFmtId="2" fontId="20" fillId="0" borderId="7" xfId="1" applyNumberFormat="1" applyFont="1" applyFill="1" applyBorder="1" applyAlignment="1">
      <alignment vertical="center"/>
    </xf>
    <xf numFmtId="167" fontId="21" fillId="0" borderId="7" xfId="1" applyNumberFormat="1" applyFont="1" applyFill="1" applyBorder="1" applyAlignment="1">
      <alignment horizontal="right" vertical="center"/>
    </xf>
    <xf numFmtId="0" fontId="29" fillId="0" borderId="25" xfId="0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left" vertical="center"/>
    </xf>
    <xf numFmtId="167" fontId="29" fillId="0" borderId="7" xfId="1" applyNumberFormat="1" applyFont="1" applyFill="1" applyBorder="1" applyAlignment="1">
      <alignment horizontal="right" vertical="center"/>
    </xf>
    <xf numFmtId="43" fontId="29" fillId="0" borderId="7" xfId="1" applyNumberFormat="1" applyFont="1" applyFill="1" applyBorder="1" applyAlignment="1">
      <alignment vertical="center"/>
    </xf>
    <xf numFmtId="170" fontId="29" fillId="0" borderId="7" xfId="1" applyNumberFormat="1" applyFont="1" applyFill="1" applyBorder="1" applyAlignment="1">
      <alignment vertical="center"/>
    </xf>
    <xf numFmtId="168" fontId="29" fillId="0" borderId="26" xfId="1" applyNumberFormat="1" applyFont="1" applyFill="1" applyBorder="1" applyAlignment="1">
      <alignment vertical="center"/>
    </xf>
    <xf numFmtId="0" fontId="28" fillId="6" borderId="25" xfId="0" applyFont="1" applyFill="1" applyBorder="1" applyAlignment="1">
      <alignment horizontal="center" vertical="center"/>
    </xf>
    <xf numFmtId="0" fontId="28" fillId="6" borderId="7" xfId="0" applyFont="1" applyFill="1" applyBorder="1" applyAlignment="1">
      <alignment vertical="center"/>
    </xf>
    <xf numFmtId="169" fontId="28" fillId="6" borderId="7" xfId="1" applyNumberFormat="1" applyFont="1" applyFill="1" applyBorder="1" applyAlignment="1">
      <alignment vertical="center"/>
    </xf>
    <xf numFmtId="174" fontId="28" fillId="6" borderId="7" xfId="1" applyNumberFormat="1" applyFont="1" applyFill="1" applyBorder="1" applyAlignment="1">
      <alignment vertical="center"/>
    </xf>
    <xf numFmtId="175" fontId="28" fillId="6" borderId="7" xfId="1" applyNumberFormat="1" applyFont="1" applyFill="1" applyBorder="1" applyAlignment="1">
      <alignment horizontal="center" vertical="center"/>
    </xf>
    <xf numFmtId="43" fontId="28" fillId="6" borderId="7" xfId="1" applyNumberFormat="1" applyFont="1" applyFill="1" applyBorder="1" applyAlignment="1">
      <alignment vertical="center"/>
    </xf>
    <xf numFmtId="43" fontId="29" fillId="6" borderId="7" xfId="1" applyFont="1" applyFill="1" applyBorder="1" applyAlignment="1">
      <alignment vertical="center"/>
    </xf>
    <xf numFmtId="168" fontId="28" fillId="6" borderId="26" xfId="1" applyNumberFormat="1" applyFont="1" applyFill="1" applyBorder="1" applyAlignment="1">
      <alignment vertical="center"/>
    </xf>
    <xf numFmtId="43" fontId="29" fillId="6" borderId="7" xfId="1" applyNumberFormat="1" applyFont="1" applyFill="1" applyBorder="1" applyAlignment="1">
      <alignment horizontal="center" vertical="center"/>
    </xf>
    <xf numFmtId="43" fontId="29" fillId="6" borderId="7" xfId="0" applyNumberFormat="1" applyFont="1" applyFill="1" applyBorder="1" applyAlignment="1">
      <alignment vertical="center"/>
    </xf>
    <xf numFmtId="170" fontId="29" fillId="6" borderId="7" xfId="1" applyNumberFormat="1" applyFont="1" applyFill="1" applyBorder="1" applyAlignment="1">
      <alignment vertical="center"/>
    </xf>
    <xf numFmtId="169" fontId="29" fillId="6" borderId="7" xfId="1" applyNumberFormat="1" applyFont="1" applyFill="1" applyBorder="1" applyAlignment="1">
      <alignment vertical="center"/>
    </xf>
    <xf numFmtId="175" fontId="29" fillId="6" borderId="7" xfId="1" applyNumberFormat="1" applyFont="1" applyFill="1" applyBorder="1" applyAlignment="1">
      <alignment horizontal="right" vertical="center"/>
    </xf>
    <xf numFmtId="167" fontId="29" fillId="6" borderId="7" xfId="1" applyNumberFormat="1" applyFont="1" applyFill="1" applyBorder="1" applyAlignment="1">
      <alignment horizontal="right" vertical="center"/>
    </xf>
    <xf numFmtId="43" fontId="29" fillId="6" borderId="7" xfId="1" applyNumberFormat="1" applyFont="1" applyFill="1" applyBorder="1" applyAlignment="1">
      <alignment vertical="center"/>
    </xf>
    <xf numFmtId="0" fontId="29" fillId="6" borderId="7" xfId="0" applyFont="1" applyFill="1" applyBorder="1" applyAlignment="1">
      <alignment horizontal="left" vertical="center"/>
    </xf>
    <xf numFmtId="0" fontId="28" fillId="6" borderId="27" xfId="0" applyFont="1" applyFill="1" applyBorder="1" applyAlignment="1">
      <alignment horizontal="center" vertical="center"/>
    </xf>
    <xf numFmtId="0" fontId="28" fillId="6" borderId="28" xfId="0" applyFont="1" applyFill="1" applyBorder="1" applyAlignment="1">
      <alignment vertical="center"/>
    </xf>
    <xf numFmtId="0" fontId="29" fillId="6" borderId="28" xfId="0" applyFont="1" applyFill="1" applyBorder="1" applyAlignment="1">
      <alignment horizontal="left" vertical="center"/>
    </xf>
    <xf numFmtId="169" fontId="29" fillId="6" borderId="28" xfId="1" applyNumberFormat="1" applyFont="1" applyFill="1" applyBorder="1" applyAlignment="1">
      <alignment vertical="center"/>
    </xf>
    <xf numFmtId="175" fontId="29" fillId="6" borderId="28" xfId="1" applyNumberFormat="1" applyFont="1" applyFill="1" applyBorder="1" applyAlignment="1">
      <alignment horizontal="right" vertical="center"/>
    </xf>
    <xf numFmtId="167" fontId="29" fillId="6" borderId="28" xfId="1" applyNumberFormat="1" applyFont="1" applyFill="1" applyBorder="1" applyAlignment="1">
      <alignment horizontal="right" vertical="center"/>
    </xf>
    <xf numFmtId="43" fontId="29" fillId="6" borderId="28" xfId="1" applyNumberFormat="1" applyFont="1" applyFill="1" applyBorder="1" applyAlignment="1">
      <alignment vertical="center"/>
    </xf>
    <xf numFmtId="170" fontId="29" fillId="6" borderId="28" xfId="1" applyNumberFormat="1" applyFont="1" applyFill="1" applyBorder="1" applyAlignment="1">
      <alignment vertical="center"/>
    </xf>
    <xf numFmtId="168" fontId="28" fillId="6" borderId="29" xfId="1" applyNumberFormat="1" applyFont="1" applyFill="1" applyBorder="1" applyAlignment="1">
      <alignment vertical="center"/>
    </xf>
    <xf numFmtId="0" fontId="28" fillId="0" borderId="30" xfId="0" applyFont="1" applyFill="1" applyBorder="1" applyAlignment="1">
      <alignment horizontal="center" vertical="center"/>
    </xf>
    <xf numFmtId="0" fontId="29" fillId="0" borderId="30" xfId="0" applyFont="1" applyFill="1" applyBorder="1" applyAlignment="1">
      <alignment horizontal="left" vertical="center"/>
    </xf>
    <xf numFmtId="169" fontId="29" fillId="0" borderId="30" xfId="1" applyNumberFormat="1" applyFont="1" applyFill="1" applyBorder="1" applyAlignment="1">
      <alignment vertical="center"/>
    </xf>
    <xf numFmtId="175" fontId="29" fillId="0" borderId="30" xfId="1" applyNumberFormat="1" applyFont="1" applyFill="1" applyBorder="1" applyAlignment="1">
      <alignment horizontal="right" vertical="center"/>
    </xf>
    <xf numFmtId="43" fontId="29" fillId="0" borderId="30" xfId="1" applyNumberFormat="1" applyFont="1" applyFill="1" applyBorder="1" applyAlignment="1">
      <alignment vertical="center"/>
    </xf>
    <xf numFmtId="43" fontId="28" fillId="0" borderId="30" xfId="1" applyFont="1" applyFill="1" applyBorder="1" applyAlignment="1">
      <alignment vertical="center"/>
    </xf>
    <xf numFmtId="170" fontId="29" fillId="0" borderId="30" xfId="1" applyNumberFormat="1" applyFont="1" applyFill="1" applyBorder="1" applyAlignment="1">
      <alignment vertical="center"/>
    </xf>
    <xf numFmtId="168" fontId="28" fillId="0" borderId="30" xfId="1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169" fontId="30" fillId="0" borderId="0" xfId="0" applyNumberFormat="1" applyFont="1" applyFill="1" applyBorder="1" applyAlignment="1">
      <alignment vertical="center"/>
    </xf>
    <xf numFmtId="43" fontId="30" fillId="0" borderId="0" xfId="1" applyNumberFormat="1" applyFont="1" applyFill="1" applyBorder="1" applyAlignment="1">
      <alignment horizontal="center" vertical="center"/>
    </xf>
    <xf numFmtId="164" fontId="30" fillId="0" borderId="0" xfId="1" applyNumberFormat="1" applyFont="1" applyFill="1" applyBorder="1" applyAlignment="1">
      <alignment horizontal="center" vertical="center"/>
    </xf>
    <xf numFmtId="168" fontId="21" fillId="0" borderId="0" xfId="1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3" fontId="23" fillId="4" borderId="32" xfId="0" applyNumberFormat="1" applyFont="1" applyFill="1" applyBorder="1" applyAlignment="1">
      <alignment horizontal="center" vertical="center"/>
    </xf>
    <xf numFmtId="3" fontId="30" fillId="4" borderId="33" xfId="0" applyNumberFormat="1" applyFont="1" applyFill="1" applyBorder="1" applyAlignment="1">
      <alignment horizontal="center" vertical="center"/>
    </xf>
    <xf numFmtId="3" fontId="20" fillId="4" borderId="33" xfId="0" applyNumberFormat="1" applyFont="1" applyFill="1" applyBorder="1" applyAlignment="1">
      <alignment horizontal="left" vertical="center"/>
    </xf>
    <xf numFmtId="169" fontId="23" fillId="4" borderId="33" xfId="0" applyNumberFormat="1" applyFont="1" applyFill="1" applyBorder="1" applyAlignment="1">
      <alignment horizontal="center" vertical="center" wrapText="1"/>
    </xf>
    <xf numFmtId="164" fontId="20" fillId="4" borderId="33" xfId="1" applyNumberFormat="1" applyFont="1" applyFill="1" applyBorder="1" applyAlignment="1">
      <alignment horizontal="center" vertical="center" wrapText="1"/>
    </xf>
    <xf numFmtId="4" fontId="23" fillId="4" borderId="33" xfId="0" applyNumberFormat="1" applyFont="1" applyFill="1" applyBorder="1" applyAlignment="1">
      <alignment horizontal="center" vertical="center" wrapText="1"/>
    </xf>
    <xf numFmtId="43" fontId="23" fillId="4" borderId="33" xfId="1" applyFont="1" applyFill="1" applyBorder="1" applyAlignment="1">
      <alignment horizontal="right" vertical="center" wrapText="1"/>
    </xf>
    <xf numFmtId="164" fontId="23" fillId="4" borderId="34" xfId="1" applyNumberFormat="1" applyFont="1" applyFill="1" applyBorder="1" applyAlignment="1">
      <alignment horizontal="center" vertical="center" wrapText="1"/>
    </xf>
    <xf numFmtId="1" fontId="9" fillId="6" borderId="25" xfId="0" applyNumberFormat="1" applyFont="1" applyFill="1" applyBorder="1" applyAlignment="1">
      <alignment horizontal="center"/>
    </xf>
    <xf numFmtId="0" fontId="36" fillId="6" borderId="7" xfId="0" applyFont="1" applyFill="1" applyBorder="1" applyAlignment="1">
      <alignment horizontal="center"/>
    </xf>
    <xf numFmtId="1" fontId="33" fillId="6" borderId="7" xfId="0" applyNumberFormat="1" applyFont="1" applyFill="1" applyBorder="1" applyAlignment="1">
      <alignment horizontal="center"/>
    </xf>
    <xf numFmtId="176" fontId="9" fillId="6" borderId="7" xfId="0" applyNumberFormat="1" applyFont="1" applyFill="1" applyBorder="1" applyAlignment="1">
      <alignment horizontal="center"/>
    </xf>
    <xf numFmtId="171" fontId="9" fillId="6" borderId="7" xfId="0" applyNumberFormat="1" applyFont="1" applyFill="1" applyBorder="1"/>
    <xf numFmtId="4" fontId="23" fillId="6" borderId="7" xfId="0" applyNumberFormat="1" applyFont="1" applyFill="1" applyBorder="1" applyAlignment="1">
      <alignment horizontal="center" vertical="center" wrapText="1"/>
    </xf>
    <xf numFmtId="43" fontId="23" fillId="6" borderId="7" xfId="1" applyFont="1" applyFill="1" applyBorder="1" applyAlignment="1">
      <alignment horizontal="right" vertical="center" wrapText="1"/>
    </xf>
    <xf numFmtId="0" fontId="1" fillId="6" borderId="26" xfId="0" applyFont="1" applyFill="1" applyBorder="1"/>
    <xf numFmtId="1" fontId="9" fillId="0" borderId="25" xfId="0" applyNumberFormat="1" applyFont="1" applyFill="1" applyBorder="1" applyAlignment="1">
      <alignment horizontal="center"/>
    </xf>
    <xf numFmtId="177" fontId="37" fillId="0" borderId="7" xfId="0" applyNumberFormat="1" applyFont="1" applyFill="1" applyBorder="1" applyAlignment="1">
      <alignment horizontal="center"/>
    </xf>
    <xf numFmtId="1" fontId="37" fillId="0" borderId="7" xfId="0" applyNumberFormat="1" applyFont="1" applyFill="1" applyBorder="1" applyAlignment="1">
      <alignment horizontal="center"/>
    </xf>
    <xf numFmtId="176" fontId="9" fillId="0" borderId="7" xfId="0" applyNumberFormat="1" applyFont="1" applyFill="1" applyBorder="1" applyAlignment="1">
      <alignment horizontal="center"/>
    </xf>
    <xf numFmtId="171" fontId="9" fillId="0" borderId="7" xfId="0" applyNumberFormat="1" applyFont="1" applyFill="1" applyBorder="1"/>
    <xf numFmtId="4" fontId="23" fillId="0" borderId="7" xfId="0" applyNumberFormat="1" applyFont="1" applyFill="1" applyBorder="1" applyAlignment="1">
      <alignment horizontal="center" vertical="center" wrapText="1"/>
    </xf>
    <xf numFmtId="43" fontId="23" fillId="0" borderId="7" xfId="1" applyFont="1" applyFill="1" applyBorder="1" applyAlignment="1">
      <alignment horizontal="right" vertical="center" wrapText="1"/>
    </xf>
    <xf numFmtId="0" fontId="1" fillId="0" borderId="26" xfId="0" applyFont="1" applyFill="1" applyBorder="1"/>
    <xf numFmtId="1" fontId="9" fillId="0" borderId="7" xfId="0" applyNumberFormat="1" applyFont="1" applyFill="1" applyBorder="1" applyAlignment="1">
      <alignment horizontal="center"/>
    </xf>
    <xf numFmtId="0" fontId="37" fillId="0" borderId="26" xfId="0" applyFont="1" applyFill="1" applyBorder="1"/>
    <xf numFmtId="1" fontId="9" fillId="0" borderId="35" xfId="0" applyNumberFormat="1" applyFont="1" applyFill="1" applyBorder="1" applyAlignment="1">
      <alignment horizontal="center"/>
    </xf>
    <xf numFmtId="177" fontId="37" fillId="0" borderId="8" xfId="0" applyNumberFormat="1" applyFont="1" applyFill="1" applyBorder="1" applyAlignment="1">
      <alignment horizontal="center"/>
    </xf>
    <xf numFmtId="1" fontId="37" fillId="0" borderId="8" xfId="0" applyNumberFormat="1" applyFont="1" applyFill="1" applyBorder="1" applyAlignment="1">
      <alignment horizontal="center"/>
    </xf>
    <xf numFmtId="1" fontId="9" fillId="0" borderId="8" xfId="0" applyNumberFormat="1" applyFont="1" applyFill="1" applyBorder="1" applyAlignment="1">
      <alignment horizontal="center"/>
    </xf>
    <xf numFmtId="171" fontId="9" fillId="0" borderId="8" xfId="0" applyNumberFormat="1" applyFont="1" applyFill="1" applyBorder="1"/>
    <xf numFmtId="4" fontId="23" fillId="0" borderId="8" xfId="0" applyNumberFormat="1" applyFont="1" applyFill="1" applyBorder="1" applyAlignment="1">
      <alignment horizontal="center" vertical="center" wrapText="1"/>
    </xf>
    <xf numFmtId="43" fontId="23" fillId="0" borderId="8" xfId="1" applyFont="1" applyFill="1" applyBorder="1" applyAlignment="1">
      <alignment horizontal="right" vertical="center" wrapText="1"/>
    </xf>
    <xf numFmtId="0" fontId="37" fillId="0" borderId="29" xfId="0" applyFont="1" applyFill="1" applyBorder="1"/>
    <xf numFmtId="43" fontId="23" fillId="0" borderId="0" xfId="1" applyFont="1" applyFill="1" applyBorder="1" applyAlignment="1">
      <alignment horizontal="right" vertical="center" wrapText="1"/>
    </xf>
    <xf numFmtId="0" fontId="37" fillId="0" borderId="0" xfId="0" applyFont="1" applyFill="1" applyBorder="1"/>
    <xf numFmtId="164" fontId="30" fillId="5" borderId="15" xfId="1" applyNumberFormat="1" applyFont="1" applyFill="1" applyBorder="1" applyAlignment="1">
      <alignment horizontal="center" vertical="center" wrapText="1"/>
    </xf>
    <xf numFmtId="164" fontId="30" fillId="5" borderId="4" xfId="1" applyNumberFormat="1" applyFont="1" applyFill="1" applyBorder="1" applyAlignment="1">
      <alignment horizontal="center" vertical="center" wrapText="1"/>
    </xf>
    <xf numFmtId="171" fontId="21" fillId="0" borderId="7" xfId="1" applyNumberFormat="1" applyFont="1" applyFill="1" applyBorder="1" applyAlignment="1">
      <alignment horizontal="right" vertical="center"/>
    </xf>
    <xf numFmtId="16" fontId="29" fillId="0" borderId="7" xfId="0" applyNumberFormat="1" applyFont="1" applyFill="1" applyBorder="1" applyAlignment="1">
      <alignment vertical="center"/>
    </xf>
    <xf numFmtId="169" fontId="29" fillId="0" borderId="7" xfId="1" applyNumberFormat="1" applyFont="1" applyFill="1" applyBorder="1" applyAlignment="1">
      <alignment vertical="center"/>
    </xf>
    <xf numFmtId="171" fontId="29" fillId="0" borderId="7" xfId="1" applyNumberFormat="1" applyFont="1" applyFill="1" applyBorder="1" applyAlignment="1">
      <alignment horizontal="right" vertical="center"/>
    </xf>
    <xf numFmtId="168" fontId="28" fillId="6" borderId="36" xfId="1" applyNumberFormat="1" applyFont="1" applyFill="1" applyBorder="1" applyAlignment="1">
      <alignment vertical="center"/>
    </xf>
    <xf numFmtId="1" fontId="39" fillId="0" borderId="0" xfId="0" applyNumberFormat="1" applyFont="1" applyFill="1" applyAlignment="1">
      <alignment horizontal="center"/>
    </xf>
    <xf numFmtId="0" fontId="39" fillId="0" borderId="0" xfId="0" applyFont="1" applyFill="1"/>
    <xf numFmtId="1" fontId="40" fillId="0" borderId="0" xfId="0" applyNumberFormat="1" applyFont="1" applyFill="1" applyAlignment="1">
      <alignment horizontal="center"/>
    </xf>
    <xf numFmtId="176" fontId="39" fillId="0" borderId="0" xfId="0" applyNumberFormat="1" applyFont="1" applyFill="1" applyAlignment="1">
      <alignment horizontal="center"/>
    </xf>
    <xf numFmtId="2" fontId="39" fillId="0" borderId="0" xfId="0" applyNumberFormat="1" applyFont="1" applyFill="1"/>
    <xf numFmtId="0" fontId="41" fillId="0" borderId="0" xfId="0" applyFont="1"/>
    <xf numFmtId="1" fontId="33" fillId="3" borderId="2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176" fontId="40" fillId="3" borderId="2" xfId="0" applyNumberFormat="1" applyFont="1" applyFill="1" applyBorder="1" applyAlignment="1">
      <alignment horizontal="center" wrapText="1"/>
    </xf>
    <xf numFmtId="2" fontId="33" fillId="3" borderId="3" xfId="0" applyNumberFormat="1" applyFont="1" applyFill="1" applyBorder="1" applyAlignment="1">
      <alignment horizontal="center" wrapText="1"/>
    </xf>
    <xf numFmtId="0" fontId="33" fillId="3" borderId="2" xfId="0" applyFont="1" applyFill="1" applyBorder="1" applyAlignment="1">
      <alignment horizontal="center" vertical="center"/>
    </xf>
    <xf numFmtId="1" fontId="33" fillId="3" borderId="4" xfId="0" applyNumberFormat="1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176" fontId="40" fillId="3" borderId="4" xfId="0" applyNumberFormat="1" applyFont="1" applyFill="1" applyBorder="1" applyAlignment="1">
      <alignment horizontal="center" wrapText="1"/>
    </xf>
    <xf numFmtId="0" fontId="40" fillId="3" borderId="3" xfId="0" applyFont="1" applyFill="1" applyBorder="1" applyAlignment="1">
      <alignment horizontal="center"/>
    </xf>
    <xf numFmtId="2" fontId="40" fillId="3" borderId="5" xfId="0" applyNumberFormat="1" applyFont="1" applyFill="1" applyBorder="1" applyAlignment="1">
      <alignment horizontal="center"/>
    </xf>
    <xf numFmtId="0" fontId="33" fillId="3" borderId="4" xfId="0" applyFont="1" applyFill="1" applyBorder="1" applyAlignment="1">
      <alignment horizontal="center" vertical="center"/>
    </xf>
    <xf numFmtId="1" fontId="9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1" fontId="40" fillId="3" borderId="3" xfId="0" applyNumberFormat="1" applyFont="1" applyFill="1" applyBorder="1" applyAlignment="1">
      <alignment horizontal="center" vertical="center"/>
    </xf>
    <xf numFmtId="176" fontId="9" fillId="3" borderId="3" xfId="0" applyNumberFormat="1" applyFont="1" applyFill="1" applyBorder="1" applyAlignment="1">
      <alignment horizontal="center" vertical="center"/>
    </xf>
    <xf numFmtId="0" fontId="39" fillId="3" borderId="3" xfId="0" applyFont="1" applyFill="1" applyBorder="1" applyAlignment="1">
      <alignment horizontal="center" vertical="center"/>
    </xf>
    <xf numFmtId="2" fontId="39" fillId="3" borderId="3" xfId="0" applyNumberFormat="1" applyFont="1" applyFill="1" applyBorder="1" applyAlignment="1">
      <alignment horizontal="center" vertical="center"/>
    </xf>
    <xf numFmtId="0" fontId="43" fillId="3" borderId="3" xfId="0" applyFont="1" applyFill="1" applyBorder="1" applyAlignment="1">
      <alignment horizontal="center" vertical="center"/>
    </xf>
    <xf numFmtId="172" fontId="44" fillId="3" borderId="3" xfId="0" quotePrefix="1" applyNumberFormat="1" applyFont="1" applyFill="1" applyBorder="1" applyAlignment="1">
      <alignment horizontal="center"/>
    </xf>
    <xf numFmtId="0" fontId="45" fillId="0" borderId="0" xfId="0" applyFont="1"/>
    <xf numFmtId="1" fontId="9" fillId="0" borderId="5" xfId="0" applyNumberFormat="1" applyFont="1" applyFill="1" applyBorder="1" applyAlignment="1">
      <alignment horizontal="center"/>
    </xf>
    <xf numFmtId="177" fontId="46" fillId="0" borderId="5" xfId="0" applyNumberFormat="1" applyFont="1" applyFill="1" applyBorder="1"/>
    <xf numFmtId="1" fontId="11" fillId="0" borderId="5" xfId="0" applyNumberFormat="1" applyFont="1" applyFill="1" applyBorder="1" applyAlignment="1">
      <alignment horizontal="center"/>
    </xf>
    <xf numFmtId="165" fontId="9" fillId="0" borderId="5" xfId="0" applyNumberFormat="1" applyFont="1" applyFill="1" applyBorder="1" applyAlignment="1">
      <alignment horizontal="center"/>
    </xf>
    <xf numFmtId="177" fontId="9" fillId="0" borderId="5" xfId="0" applyNumberFormat="1" applyFont="1" applyFill="1" applyBorder="1"/>
    <xf numFmtId="178" fontId="11" fillId="0" borderId="5" xfId="0" applyNumberFormat="1" applyFont="1" applyFill="1" applyBorder="1"/>
    <xf numFmtId="177" fontId="40" fillId="0" borderId="5" xfId="0" applyNumberFormat="1" applyFont="1" applyFill="1" applyBorder="1"/>
    <xf numFmtId="1" fontId="15" fillId="8" borderId="7" xfId="0" applyNumberFormat="1" applyFont="1" applyFill="1" applyBorder="1" applyAlignment="1">
      <alignment horizontal="center"/>
    </xf>
    <xf numFmtId="177" fontId="11" fillId="8" borderId="7" xfId="0" applyNumberFormat="1" applyFont="1" applyFill="1" applyBorder="1" applyAlignment="1"/>
    <xf numFmtId="165" fontId="15" fillId="8" borderId="7" xfId="0" applyNumberFormat="1" applyFont="1" applyFill="1" applyBorder="1" applyAlignment="1">
      <alignment horizontal="center"/>
    </xf>
    <xf numFmtId="177" fontId="15" fillId="8" borderId="7" xfId="0" applyNumberFormat="1" applyFont="1" applyFill="1" applyBorder="1"/>
    <xf numFmtId="178" fontId="15" fillId="8" borderId="5" xfId="0" applyNumberFormat="1" applyFont="1" applyFill="1" applyBorder="1" applyAlignment="1"/>
    <xf numFmtId="177" fontId="47" fillId="8" borderId="5" xfId="0" applyNumberFormat="1" applyFont="1" applyFill="1" applyBorder="1"/>
    <xf numFmtId="0" fontId="48" fillId="0" borderId="0" xfId="0" applyFont="1"/>
    <xf numFmtId="1" fontId="11" fillId="4" borderId="7" xfId="0" applyNumberFormat="1" applyFont="1" applyFill="1" applyBorder="1" applyAlignment="1">
      <alignment horizontal="center"/>
    </xf>
    <xf numFmtId="177" fontId="11" fillId="4" borderId="7" xfId="0" applyNumberFormat="1" applyFont="1" applyFill="1" applyBorder="1" applyAlignment="1"/>
    <xf numFmtId="165" fontId="11" fillId="4" borderId="7" xfId="0" applyNumberFormat="1" applyFont="1" applyFill="1" applyBorder="1" applyAlignment="1">
      <alignment horizontal="center"/>
    </xf>
    <xf numFmtId="177" fontId="11" fillId="4" borderId="7" xfId="0" applyNumberFormat="1" applyFont="1" applyFill="1" applyBorder="1"/>
    <xf numFmtId="179" fontId="12" fillId="4" borderId="7" xfId="0" applyNumberFormat="1" applyFont="1" applyFill="1" applyBorder="1" applyAlignment="1">
      <alignment horizontal="center"/>
    </xf>
    <xf numFmtId="178" fontId="11" fillId="4" borderId="5" xfId="0" applyNumberFormat="1" applyFont="1" applyFill="1" applyBorder="1" applyAlignment="1"/>
    <xf numFmtId="177" fontId="40" fillId="4" borderId="5" xfId="0" applyNumberFormat="1" applyFont="1" applyFill="1" applyBorder="1"/>
    <xf numFmtId="0" fontId="49" fillId="0" borderId="0" xfId="0" applyFont="1"/>
    <xf numFmtId="1" fontId="12" fillId="9" borderId="7" xfId="0" applyNumberFormat="1" applyFont="1" applyFill="1" applyBorder="1" applyAlignment="1">
      <alignment horizontal="center"/>
    </xf>
    <xf numFmtId="177" fontId="8" fillId="9" borderId="7" xfId="0" applyNumberFormat="1" applyFont="1" applyFill="1" applyBorder="1"/>
    <xf numFmtId="176" fontId="12" fillId="9" borderId="7" xfId="0" applyNumberFormat="1" applyFont="1" applyFill="1" applyBorder="1" applyAlignment="1">
      <alignment horizontal="center"/>
    </xf>
    <xf numFmtId="177" fontId="12" fillId="9" borderId="7" xfId="0" applyNumberFormat="1" applyFont="1" applyFill="1" applyBorder="1"/>
    <xf numFmtId="178" fontId="12" fillId="9" borderId="5" xfId="0" applyNumberFormat="1" applyFont="1" applyFill="1" applyBorder="1" applyAlignment="1"/>
    <xf numFmtId="177" fontId="50" fillId="9" borderId="5" xfId="0" applyNumberFormat="1" applyFont="1" applyFill="1" applyBorder="1"/>
    <xf numFmtId="0" fontId="51" fillId="0" borderId="0" xfId="0" applyFont="1"/>
    <xf numFmtId="177" fontId="9" fillId="0" borderId="7" xfId="0" applyNumberFormat="1" applyFont="1" applyFill="1" applyBorder="1"/>
    <xf numFmtId="1" fontId="11" fillId="0" borderId="7" xfId="0" applyNumberFormat="1" applyFont="1" applyFill="1" applyBorder="1" applyAlignment="1">
      <alignment horizontal="center"/>
    </xf>
    <xf numFmtId="178" fontId="9" fillId="0" borderId="5" xfId="0" applyNumberFormat="1" applyFont="1" applyFill="1" applyBorder="1" applyAlignment="1"/>
    <xf numFmtId="177" fontId="39" fillId="0" borderId="5" xfId="0" applyNumberFormat="1" applyFont="1" applyFill="1" applyBorder="1"/>
    <xf numFmtId="0" fontId="0" fillId="0" borderId="0" xfId="0" applyFont="1"/>
    <xf numFmtId="177" fontId="9" fillId="0" borderId="7" xfId="0" applyNumberFormat="1" applyFont="1" applyFill="1" applyBorder="1" applyAlignment="1">
      <alignment horizontal="right"/>
    </xf>
    <xf numFmtId="177" fontId="9" fillId="0" borderId="7" xfId="0" applyNumberFormat="1" applyFont="1" applyFill="1" applyBorder="1" applyAlignment="1"/>
    <xf numFmtId="1" fontId="9" fillId="10" borderId="7" xfId="0" applyNumberFormat="1" applyFont="1" applyFill="1" applyBorder="1" applyAlignment="1">
      <alignment horizontal="center"/>
    </xf>
    <xf numFmtId="1" fontId="15" fillId="9" borderId="7" xfId="0" applyNumberFormat="1" applyFont="1" applyFill="1" applyBorder="1" applyAlignment="1">
      <alignment horizontal="center"/>
    </xf>
    <xf numFmtId="177" fontId="52" fillId="9" borderId="7" xfId="0" applyNumberFormat="1" applyFont="1" applyFill="1" applyBorder="1"/>
    <xf numFmtId="176" fontId="15" fillId="9" borderId="7" xfId="0" applyNumberFormat="1" applyFont="1" applyFill="1" applyBorder="1" applyAlignment="1">
      <alignment horizontal="center"/>
    </xf>
    <xf numFmtId="177" fontId="15" fillId="9" borderId="7" xfId="0" applyNumberFormat="1" applyFont="1" applyFill="1" applyBorder="1"/>
    <xf numFmtId="178" fontId="15" fillId="9" borderId="5" xfId="0" applyNumberFormat="1" applyFont="1" applyFill="1" applyBorder="1" applyAlignment="1"/>
    <xf numFmtId="177" fontId="47" fillId="9" borderId="5" xfId="0" applyNumberFormat="1" applyFont="1" applyFill="1" applyBorder="1"/>
    <xf numFmtId="177" fontId="9" fillId="0" borderId="7" xfId="0" applyNumberFormat="1" applyFont="1" applyFill="1" applyBorder="1" applyAlignment="1">
      <alignment horizontal="center"/>
    </xf>
    <xf numFmtId="0" fontId="53" fillId="0" borderId="0" xfId="0" applyFont="1"/>
    <xf numFmtId="2" fontId="0" fillId="0" borderId="0" xfId="0" applyNumberFormat="1"/>
    <xf numFmtId="0" fontId="0" fillId="0" borderId="8" xfId="0" applyFont="1" applyBorder="1" applyAlignment="1">
      <alignment horizontal="left" vertical="center" wrapText="1"/>
    </xf>
    <xf numFmtId="170" fontId="21" fillId="0" borderId="0" xfId="1" applyNumberFormat="1" applyFont="1" applyFill="1" applyBorder="1" applyAlignment="1">
      <alignment horizontal="center"/>
    </xf>
    <xf numFmtId="170" fontId="21" fillId="0" borderId="0" xfId="1" applyNumberFormat="1" applyFont="1" applyFill="1" applyBorder="1" applyAlignment="1">
      <alignment horizontal="center" vertical="center"/>
    </xf>
    <xf numFmtId="170" fontId="23" fillId="5" borderId="17" xfId="1" applyNumberFormat="1" applyFont="1" applyFill="1" applyBorder="1" applyAlignment="1">
      <alignment horizontal="center" vertical="center" wrapText="1"/>
    </xf>
    <xf numFmtId="170" fontId="23" fillId="5" borderId="4" xfId="1" applyNumberFormat="1" applyFont="1" applyFill="1" applyBorder="1" applyAlignment="1">
      <alignment horizontal="center" vertical="center" wrapText="1"/>
    </xf>
    <xf numFmtId="172" fontId="24" fillId="2" borderId="21" xfId="0" applyNumberFormat="1" applyFont="1" applyFill="1" applyBorder="1" applyAlignment="1">
      <alignment horizontal="center" vertical="center"/>
    </xf>
    <xf numFmtId="172" fontId="23" fillId="2" borderId="6" xfId="0" applyNumberFormat="1" applyFont="1" applyFill="1" applyBorder="1" applyAlignment="1">
      <alignment horizontal="center" vertical="center"/>
    </xf>
    <xf numFmtId="172" fontId="24" fillId="2" borderId="6" xfId="0" applyNumberFormat="1" applyFont="1" applyFill="1" applyBorder="1" applyAlignment="1">
      <alignment horizontal="center" vertical="center"/>
    </xf>
    <xf numFmtId="180" fontId="23" fillId="2" borderId="6" xfId="0" applyNumberFormat="1" applyFont="1" applyFill="1" applyBorder="1" applyAlignment="1">
      <alignment horizontal="right" vertical="center"/>
    </xf>
    <xf numFmtId="172" fontId="24" fillId="2" borderId="22" xfId="0" applyNumberFormat="1" applyFont="1" applyFill="1" applyBorder="1" applyAlignment="1">
      <alignment horizontal="center" vertical="center"/>
    </xf>
    <xf numFmtId="172" fontId="23" fillId="4" borderId="6" xfId="0" applyNumberFormat="1" applyFont="1" applyFill="1" applyBorder="1" applyAlignment="1">
      <alignment horizontal="center" vertical="center"/>
    </xf>
    <xf numFmtId="172" fontId="24" fillId="4" borderId="6" xfId="0" applyNumberFormat="1" applyFont="1" applyFill="1" applyBorder="1" applyAlignment="1">
      <alignment horizontal="center" vertical="center"/>
    </xf>
    <xf numFmtId="180" fontId="23" fillId="4" borderId="6" xfId="0" applyNumberFormat="1" applyFont="1" applyFill="1" applyBorder="1" applyAlignment="1">
      <alignment horizontal="right" vertical="center"/>
    </xf>
    <xf numFmtId="172" fontId="24" fillId="4" borderId="22" xfId="0" applyNumberFormat="1" applyFont="1" applyFill="1" applyBorder="1" applyAlignment="1">
      <alignment horizontal="center" vertical="center"/>
    </xf>
    <xf numFmtId="3" fontId="23" fillId="11" borderId="23" xfId="0" applyNumberFormat="1" applyFont="1" applyFill="1" applyBorder="1" applyAlignment="1">
      <alignment horizontal="center" vertical="center"/>
    </xf>
    <xf numFmtId="3" fontId="20" fillId="11" borderId="5" xfId="0" applyNumberFormat="1" applyFont="1" applyFill="1" applyBorder="1" applyAlignment="1">
      <alignment horizontal="left" vertical="center"/>
    </xf>
    <xf numFmtId="169" fontId="23" fillId="11" borderId="5" xfId="0" applyNumberFormat="1" applyFont="1" applyFill="1" applyBorder="1" applyAlignment="1">
      <alignment horizontal="center" vertical="center" wrapText="1"/>
    </xf>
    <xf numFmtId="164" fontId="20" fillId="11" borderId="5" xfId="1" applyNumberFormat="1" applyFont="1" applyFill="1" applyBorder="1" applyAlignment="1">
      <alignment horizontal="center" vertical="center" wrapText="1"/>
    </xf>
    <xf numFmtId="3" fontId="23" fillId="11" borderId="5" xfId="0" applyNumberFormat="1" applyFont="1" applyFill="1" applyBorder="1" applyAlignment="1">
      <alignment horizontal="center" vertical="center" wrapText="1"/>
    </xf>
    <xf numFmtId="43" fontId="23" fillId="11" borderId="5" xfId="1" applyFont="1" applyFill="1" applyBorder="1" applyAlignment="1">
      <alignment horizontal="right" vertical="center" wrapText="1"/>
    </xf>
    <xf numFmtId="164" fontId="23" fillId="11" borderId="24" xfId="1" applyNumberFormat="1" applyFont="1" applyFill="1" applyBorder="1" applyAlignment="1">
      <alignment horizontal="center" vertical="center" wrapText="1"/>
    </xf>
    <xf numFmtId="0" fontId="28" fillId="7" borderId="35" xfId="0" applyFont="1" applyFill="1" applyBorder="1" applyAlignment="1">
      <alignment horizontal="center" vertical="center"/>
    </xf>
    <xf numFmtId="0" fontId="61" fillId="7" borderId="7" xfId="0" applyFont="1" applyFill="1" applyBorder="1" applyAlignment="1">
      <alignment horizontal="left" vertical="center"/>
    </xf>
    <xf numFmtId="0" fontId="29" fillId="7" borderId="8" xfId="0" applyFont="1" applyFill="1" applyBorder="1" applyAlignment="1">
      <alignment horizontal="left" vertical="center"/>
    </xf>
    <xf numFmtId="169" fontId="29" fillId="7" borderId="8" xfId="1" applyNumberFormat="1" applyFont="1" applyFill="1" applyBorder="1" applyAlignment="1">
      <alignment vertical="center"/>
    </xf>
    <xf numFmtId="2" fontId="29" fillId="7" borderId="8" xfId="1" applyNumberFormat="1" applyFont="1" applyFill="1" applyBorder="1" applyAlignment="1">
      <alignment horizontal="right" vertical="center"/>
    </xf>
    <xf numFmtId="167" fontId="29" fillId="7" borderId="8" xfId="1" applyNumberFormat="1" applyFont="1" applyFill="1" applyBorder="1" applyAlignment="1">
      <alignment horizontal="right" vertical="center"/>
    </xf>
    <xf numFmtId="43" fontId="29" fillId="7" borderId="7" xfId="1" applyNumberFormat="1" applyFont="1" applyFill="1" applyBorder="1" applyAlignment="1">
      <alignment vertical="center"/>
    </xf>
    <xf numFmtId="43" fontId="28" fillId="7" borderId="7" xfId="1" applyFont="1" applyFill="1" applyBorder="1" applyAlignment="1">
      <alignment vertical="center"/>
    </xf>
    <xf numFmtId="168" fontId="28" fillId="7" borderId="29" xfId="1" applyNumberFormat="1" applyFont="1" applyFill="1" applyBorder="1" applyAlignment="1">
      <alignment vertical="center"/>
    </xf>
    <xf numFmtId="0" fontId="28" fillId="0" borderId="35" xfId="0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vertical="center"/>
    </xf>
    <xf numFmtId="2" fontId="29" fillId="0" borderId="7" xfId="1" applyNumberFormat="1" applyFont="1" applyFill="1" applyBorder="1" applyAlignment="1">
      <alignment vertical="center"/>
    </xf>
    <xf numFmtId="2" fontId="29" fillId="0" borderId="7" xfId="1" applyNumberFormat="1" applyFont="1" applyFill="1" applyBorder="1" applyAlignment="1">
      <alignment horizontal="center" vertical="center"/>
    </xf>
    <xf numFmtId="43" fontId="29" fillId="0" borderId="7" xfId="1" applyFont="1" applyFill="1" applyBorder="1" applyAlignment="1">
      <alignment vertical="center"/>
    </xf>
    <xf numFmtId="168" fontId="28" fillId="0" borderId="29" xfId="1" applyNumberFormat="1" applyFont="1" applyFill="1" applyBorder="1" applyAlignment="1">
      <alignment vertical="center"/>
    </xf>
    <xf numFmtId="2" fontId="29" fillId="0" borderId="7" xfId="1" applyNumberFormat="1" applyFont="1" applyFill="1" applyBorder="1" applyAlignment="1">
      <alignment horizontal="right" vertical="center"/>
    </xf>
    <xf numFmtId="2" fontId="29" fillId="0" borderId="8" xfId="1" applyNumberFormat="1" applyFont="1" applyFill="1" applyBorder="1" applyAlignment="1">
      <alignment horizontal="right" vertical="center"/>
    </xf>
    <xf numFmtId="2" fontId="21" fillId="0" borderId="7" xfId="1" applyNumberFormat="1" applyFont="1" applyFill="1" applyBorder="1" applyAlignment="1">
      <alignment vertical="center"/>
    </xf>
    <xf numFmtId="0" fontId="28" fillId="7" borderId="8" xfId="0" applyFont="1" applyFill="1" applyBorder="1" applyAlignment="1">
      <alignment horizontal="left" vertical="center"/>
    </xf>
    <xf numFmtId="43" fontId="29" fillId="12" borderId="7" xfId="1" applyNumberFormat="1" applyFont="1" applyFill="1" applyBorder="1" applyAlignment="1">
      <alignment vertical="center"/>
    </xf>
    <xf numFmtId="0" fontId="29" fillId="0" borderId="8" xfId="0" applyFont="1" applyFill="1" applyBorder="1" applyAlignment="1">
      <alignment horizontal="left" vertical="center"/>
    </xf>
    <xf numFmtId="169" fontId="29" fillId="0" borderId="8" xfId="1" applyNumberFormat="1" applyFont="1" applyFill="1" applyBorder="1" applyAlignment="1">
      <alignment vertical="center"/>
    </xf>
    <xf numFmtId="0" fontId="28" fillId="0" borderId="25" xfId="0" applyFont="1" applyFill="1" applyBorder="1" applyAlignment="1">
      <alignment horizontal="center" vertical="center"/>
    </xf>
    <xf numFmtId="0" fontId="29" fillId="0" borderId="38" xfId="0" applyFont="1" applyFill="1" applyBorder="1" applyAlignment="1">
      <alignment vertical="center"/>
    </xf>
    <xf numFmtId="168" fontId="28" fillId="0" borderId="39" xfId="1" applyNumberFormat="1" applyFont="1" applyFill="1" applyBorder="1" applyAlignment="1">
      <alignment vertical="center"/>
    </xf>
    <xf numFmtId="0" fontId="28" fillId="7" borderId="25" xfId="0" applyFont="1" applyFill="1" applyBorder="1" applyAlignment="1">
      <alignment horizontal="center" vertical="center"/>
    </xf>
    <xf numFmtId="0" fontId="28" fillId="7" borderId="7" xfId="0" applyFont="1" applyFill="1" applyBorder="1" applyAlignment="1">
      <alignment vertical="center"/>
    </xf>
    <xf numFmtId="169" fontId="29" fillId="7" borderId="7" xfId="1" applyNumberFormat="1" applyFont="1" applyFill="1" applyBorder="1" applyAlignment="1">
      <alignment vertical="center"/>
    </xf>
    <xf numFmtId="2" fontId="29" fillId="7" borderId="7" xfId="1" applyNumberFormat="1" applyFont="1" applyFill="1" applyBorder="1" applyAlignment="1">
      <alignment vertical="center"/>
    </xf>
    <xf numFmtId="175" fontId="29" fillId="7" borderId="7" xfId="1" applyNumberFormat="1" applyFont="1" applyFill="1" applyBorder="1" applyAlignment="1">
      <alignment horizontal="center" vertical="center"/>
    </xf>
    <xf numFmtId="2" fontId="29" fillId="7" borderId="7" xfId="1" applyNumberFormat="1" applyFont="1" applyFill="1" applyBorder="1" applyAlignment="1">
      <alignment horizontal="center" vertical="center"/>
    </xf>
    <xf numFmtId="168" fontId="28" fillId="7" borderId="26" xfId="1" applyNumberFormat="1" applyFont="1" applyFill="1" applyBorder="1" applyAlignment="1">
      <alignment vertical="center"/>
    </xf>
    <xf numFmtId="168" fontId="28" fillId="0" borderId="26" xfId="1" applyNumberFormat="1" applyFont="1" applyFill="1" applyBorder="1" applyAlignment="1">
      <alignment vertical="center"/>
    </xf>
    <xf numFmtId="2" fontId="29" fillId="7" borderId="7" xfId="1" applyNumberFormat="1" applyFont="1" applyFill="1" applyBorder="1" applyAlignment="1">
      <alignment horizontal="right" vertical="center"/>
    </xf>
    <xf numFmtId="39" fontId="29" fillId="0" borderId="7" xfId="1" applyNumberFormat="1" applyFont="1" applyFill="1" applyBorder="1" applyAlignment="1">
      <alignment horizontal="right" vertical="center"/>
    </xf>
    <xf numFmtId="175" fontId="29" fillId="7" borderId="7" xfId="1" applyNumberFormat="1" applyFont="1" applyFill="1" applyBorder="1" applyAlignment="1">
      <alignment horizontal="right" vertical="center"/>
    </xf>
    <xf numFmtId="169" fontId="28" fillId="7" borderId="7" xfId="1" applyNumberFormat="1" applyFont="1" applyFill="1" applyBorder="1" applyAlignment="1">
      <alignment vertical="center"/>
    </xf>
    <xf numFmtId="174" fontId="28" fillId="7" borderId="7" xfId="1" applyNumberFormat="1" applyFont="1" applyFill="1" applyBorder="1" applyAlignment="1">
      <alignment vertical="center"/>
    </xf>
    <xf numFmtId="175" fontId="28" fillId="7" borderId="7" xfId="1" applyNumberFormat="1" applyFont="1" applyFill="1" applyBorder="1" applyAlignment="1">
      <alignment horizontal="right" vertical="center"/>
    </xf>
    <xf numFmtId="2" fontId="28" fillId="7" borderId="7" xfId="1" applyNumberFormat="1" applyFont="1" applyFill="1" applyBorder="1" applyAlignment="1">
      <alignment horizontal="right" vertical="center"/>
    </xf>
    <xf numFmtId="43" fontId="29" fillId="7" borderId="8" xfId="1" applyNumberFormat="1" applyFont="1" applyFill="1" applyBorder="1" applyAlignment="1">
      <alignment vertical="center"/>
    </xf>
    <xf numFmtId="43" fontId="28" fillId="7" borderId="7" xfId="1" applyNumberFormat="1" applyFont="1" applyFill="1" applyBorder="1" applyAlignment="1">
      <alignment vertical="center"/>
    </xf>
    <xf numFmtId="2" fontId="28" fillId="7" borderId="7" xfId="1" applyNumberFormat="1" applyFont="1" applyFill="1" applyBorder="1" applyAlignment="1">
      <alignment horizontal="center" vertical="center"/>
    </xf>
    <xf numFmtId="2" fontId="29" fillId="7" borderId="8" xfId="1" applyNumberFormat="1" applyFont="1" applyFill="1" applyBorder="1" applyAlignment="1">
      <alignment horizontal="center" vertical="center"/>
    </xf>
    <xf numFmtId="43" fontId="29" fillId="0" borderId="8" xfId="1" applyNumberFormat="1" applyFont="1" applyFill="1" applyBorder="1" applyAlignment="1">
      <alignment vertical="center"/>
    </xf>
    <xf numFmtId="2" fontId="29" fillId="0" borderId="8" xfId="1" applyNumberFormat="1" applyFont="1" applyFill="1" applyBorder="1" applyAlignment="1">
      <alignment horizontal="center" vertical="center"/>
    </xf>
    <xf numFmtId="0" fontId="28" fillId="0" borderId="27" xfId="0" applyFont="1" applyFill="1" applyBorder="1" applyAlignment="1">
      <alignment horizontal="center" vertical="center"/>
    </xf>
    <xf numFmtId="0" fontId="61" fillId="7" borderId="28" xfId="0" applyFont="1" applyFill="1" applyBorder="1" applyAlignment="1">
      <alignment horizontal="left" vertical="center"/>
    </xf>
    <xf numFmtId="0" fontId="28" fillId="7" borderId="28" xfId="0" applyFont="1" applyFill="1" applyBorder="1" applyAlignment="1">
      <alignment vertical="center"/>
    </xf>
    <xf numFmtId="169" fontId="28" fillId="7" borderId="28" xfId="1" applyNumberFormat="1" applyFont="1" applyFill="1" applyBorder="1" applyAlignment="1">
      <alignment vertical="center"/>
    </xf>
    <xf numFmtId="174" fontId="28" fillId="7" borderId="28" xfId="1" applyNumberFormat="1" applyFont="1" applyFill="1" applyBorder="1" applyAlignment="1">
      <alignment vertical="center"/>
    </xf>
    <xf numFmtId="2" fontId="28" fillId="7" borderId="28" xfId="1" applyNumberFormat="1" applyFont="1" applyFill="1" applyBorder="1" applyAlignment="1">
      <alignment horizontal="center" vertical="center"/>
    </xf>
    <xf numFmtId="43" fontId="28" fillId="7" borderId="28" xfId="1" applyNumberFormat="1" applyFont="1" applyFill="1" applyBorder="1" applyAlignment="1">
      <alignment vertical="center"/>
    </xf>
    <xf numFmtId="43" fontId="28" fillId="7" borderId="28" xfId="1" applyFont="1" applyFill="1" applyBorder="1" applyAlignment="1">
      <alignment vertical="center"/>
    </xf>
    <xf numFmtId="168" fontId="28" fillId="7" borderId="36" xfId="1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horizontal="center" vertical="center"/>
    </xf>
    <xf numFmtId="170" fontId="30" fillId="0" borderId="0" xfId="1" applyNumberFormat="1" applyFont="1" applyFill="1" applyBorder="1" applyAlignment="1">
      <alignment horizontal="center" vertical="center"/>
    </xf>
    <xf numFmtId="43" fontId="62" fillId="0" borderId="0" xfId="1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169" fontId="22" fillId="0" borderId="0" xfId="0" applyNumberFormat="1" applyFont="1" applyFill="1" applyBorder="1" applyAlignment="1">
      <alignment vertical="center"/>
    </xf>
    <xf numFmtId="175" fontId="22" fillId="0" borderId="0" xfId="1" applyNumberFormat="1" applyFont="1" applyFill="1" applyBorder="1" applyAlignment="1">
      <alignment horizontal="center" vertical="center"/>
    </xf>
    <xf numFmtId="164" fontId="22" fillId="0" borderId="0" xfId="1" applyNumberFormat="1" applyFont="1" applyFill="1" applyBorder="1" applyAlignment="1">
      <alignment horizontal="center" vertical="center"/>
    </xf>
    <xf numFmtId="170" fontId="22" fillId="0" borderId="0" xfId="1" applyNumberFormat="1" applyFont="1" applyFill="1" applyBorder="1" applyAlignment="1">
      <alignment horizontal="center" vertical="center"/>
    </xf>
    <xf numFmtId="43" fontId="22" fillId="0" borderId="0" xfId="1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3" fontId="8" fillId="3" borderId="4" xfId="0" applyNumberFormat="1" applyFont="1" applyFill="1" applyBorder="1" applyAlignment="1">
      <alignment horizontal="center" vertical="center" wrapText="1"/>
    </xf>
    <xf numFmtId="3" fontId="63" fillId="3" borderId="4" xfId="0" applyNumberFormat="1" applyFont="1" applyFill="1" applyBorder="1" applyAlignment="1">
      <alignment horizontal="center" vertical="center" wrapText="1"/>
    </xf>
    <xf numFmtId="0" fontId="37" fillId="0" borderId="0" xfId="0" applyFont="1"/>
    <xf numFmtId="0" fontId="68" fillId="0" borderId="0" xfId="0" applyFont="1" applyFill="1" applyAlignment="1">
      <alignment horizontal="center"/>
    </xf>
    <xf numFmtId="0" fontId="69" fillId="0" borderId="0" xfId="0" applyFont="1"/>
    <xf numFmtId="0" fontId="64" fillId="0" borderId="0" xfId="0" applyFont="1" applyFill="1" applyAlignment="1">
      <alignment horizontal="center"/>
    </xf>
    <xf numFmtId="0" fontId="64" fillId="0" borderId="0" xfId="0" applyFont="1" applyFill="1" applyAlignment="1"/>
    <xf numFmtId="2" fontId="64" fillId="13" borderId="3" xfId="0" applyNumberFormat="1" applyFont="1" applyFill="1" applyBorder="1" applyAlignment="1">
      <alignment horizontal="center"/>
    </xf>
    <xf numFmtId="1" fontId="37" fillId="0" borderId="0" xfId="0" applyNumberFormat="1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1" fontId="64" fillId="0" borderId="2" xfId="0" applyNumberFormat="1" applyFont="1" applyFill="1" applyBorder="1" applyAlignment="1">
      <alignment horizontal="center" vertical="center" wrapText="1"/>
    </xf>
    <xf numFmtId="0" fontId="64" fillId="0" borderId="40" xfId="0" applyFont="1" applyFill="1" applyBorder="1" applyAlignment="1">
      <alignment horizontal="center" vertical="center" wrapText="1"/>
    </xf>
    <xf numFmtId="0" fontId="70" fillId="0" borderId="3" xfId="0" applyFont="1" applyFill="1" applyBorder="1" applyAlignment="1">
      <alignment horizontal="center" vertical="center" wrapText="1"/>
    </xf>
    <xf numFmtId="0" fontId="71" fillId="0" borderId="3" xfId="0" applyFont="1" applyFill="1" applyBorder="1" applyAlignment="1">
      <alignment horizontal="center" vertical="center" wrapText="1"/>
    </xf>
    <xf numFmtId="2" fontId="36" fillId="0" borderId="3" xfId="0" applyNumberFormat="1" applyFont="1" applyFill="1" applyBorder="1" applyAlignment="1">
      <alignment horizontal="center" vertical="center" wrapText="1"/>
    </xf>
    <xf numFmtId="2" fontId="70" fillId="14" borderId="3" xfId="0" applyNumberFormat="1" applyFont="1" applyFill="1" applyBorder="1" applyAlignment="1">
      <alignment horizontal="center" vertical="center" wrapText="1"/>
    </xf>
    <xf numFmtId="2" fontId="71" fillId="14" borderId="3" xfId="0" applyNumberFormat="1" applyFont="1" applyFill="1" applyBorder="1" applyAlignment="1">
      <alignment horizontal="center" vertical="center" wrapText="1"/>
    </xf>
    <xf numFmtId="2" fontId="36" fillId="14" borderId="3" xfId="0" applyNumberFormat="1" applyFont="1" applyFill="1" applyBorder="1" applyAlignment="1">
      <alignment horizontal="center" vertical="center" wrapText="1"/>
    </xf>
    <xf numFmtId="2" fontId="36" fillId="15" borderId="3" xfId="0" applyNumberFormat="1" applyFont="1" applyFill="1" applyBorder="1" applyAlignment="1">
      <alignment horizontal="center" vertical="center" wrapText="1"/>
    </xf>
    <xf numFmtId="2" fontId="71" fillId="15" borderId="3" xfId="0" applyNumberFormat="1" applyFont="1" applyFill="1" applyBorder="1" applyAlignment="1">
      <alignment horizontal="center" vertical="center" wrapText="1"/>
    </xf>
    <xf numFmtId="0" fontId="69" fillId="0" borderId="0" xfId="0" applyFont="1" applyAlignment="1">
      <alignment vertical="center"/>
    </xf>
    <xf numFmtId="1" fontId="9" fillId="0" borderId="3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2" fontId="9" fillId="0" borderId="3" xfId="0" applyNumberFormat="1" applyFont="1" applyFill="1" applyBorder="1" applyAlignment="1">
      <alignment horizontal="center" vertical="center"/>
    </xf>
    <xf numFmtId="2" fontId="9" fillId="14" borderId="3" xfId="0" applyNumberFormat="1" applyFont="1" applyFill="1" applyBorder="1" applyAlignment="1">
      <alignment horizontal="center" vertical="center"/>
    </xf>
    <xf numFmtId="2" fontId="9" fillId="15" borderId="3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vertical="center"/>
    </xf>
    <xf numFmtId="168" fontId="74" fillId="0" borderId="3" xfId="1" applyNumberFormat="1" applyFont="1" applyFill="1" applyBorder="1" applyAlignment="1">
      <alignment horizontal="center" vertical="center"/>
    </xf>
    <xf numFmtId="168" fontId="74" fillId="0" borderId="10" xfId="1" applyNumberFormat="1" applyFont="1" applyFill="1" applyBorder="1" applyAlignment="1">
      <alignment horizontal="center" vertical="center" wrapText="1"/>
    </xf>
    <xf numFmtId="175" fontId="74" fillId="0" borderId="3" xfId="1" applyNumberFormat="1" applyFont="1" applyFill="1" applyBorder="1" applyAlignment="1">
      <alignment horizontal="center" vertical="center"/>
    </xf>
    <xf numFmtId="168" fontId="74" fillId="14" borderId="3" xfId="1" applyNumberFormat="1" applyFont="1" applyFill="1" applyBorder="1" applyAlignment="1">
      <alignment horizontal="center" vertical="center"/>
    </xf>
    <xf numFmtId="168" fontId="74" fillId="15" borderId="3" xfId="1" applyNumberFormat="1" applyFont="1" applyFill="1" applyBorder="1" applyAlignment="1">
      <alignment horizontal="center" vertical="center"/>
    </xf>
    <xf numFmtId="168" fontId="75" fillId="0" borderId="0" xfId="1" applyNumberFormat="1" applyFont="1" applyAlignment="1">
      <alignment vertical="center"/>
    </xf>
    <xf numFmtId="1" fontId="37" fillId="0" borderId="3" xfId="0" applyNumberFormat="1" applyFont="1" applyFill="1" applyBorder="1" applyAlignment="1">
      <alignment horizontal="center" vertical="center"/>
    </xf>
    <xf numFmtId="177" fontId="37" fillId="0" borderId="10" xfId="0" applyNumberFormat="1" applyFont="1" applyFill="1" applyBorder="1" applyAlignment="1">
      <alignment vertical="center" wrapText="1"/>
    </xf>
    <xf numFmtId="175" fontId="37" fillId="0" borderId="3" xfId="1" applyNumberFormat="1" applyFont="1" applyFill="1" applyBorder="1" applyAlignment="1">
      <alignment vertical="center"/>
    </xf>
    <xf numFmtId="175" fontId="37" fillId="0" borderId="3" xfId="1" applyNumberFormat="1" applyFont="1" applyFill="1" applyBorder="1" applyAlignment="1">
      <alignment horizontal="center" vertical="center"/>
    </xf>
    <xf numFmtId="166" fontId="37" fillId="14" borderId="3" xfId="0" applyNumberFormat="1" applyFont="1" applyFill="1" applyBorder="1" applyAlignment="1">
      <alignment vertical="center"/>
    </xf>
    <xf numFmtId="168" fontId="37" fillId="14" borderId="3" xfId="1" applyNumberFormat="1" applyFont="1" applyFill="1" applyBorder="1" applyAlignment="1">
      <alignment vertical="center"/>
    </xf>
    <xf numFmtId="168" fontId="36" fillId="15" borderId="3" xfId="1" applyNumberFormat="1" applyFont="1" applyFill="1" applyBorder="1" applyAlignment="1">
      <alignment vertical="center"/>
    </xf>
    <xf numFmtId="0" fontId="34" fillId="0" borderId="0" xfId="0" applyFont="1" applyAlignment="1">
      <alignment vertical="center"/>
    </xf>
    <xf numFmtId="177" fontId="64" fillId="0" borderId="10" xfId="0" applyNumberFormat="1" applyFont="1" applyFill="1" applyBorder="1" applyAlignment="1">
      <alignment horizontal="center" vertical="center" wrapText="1"/>
    </xf>
    <xf numFmtId="166" fontId="14" fillId="2" borderId="3" xfId="0" quotePrefix="1" applyNumberFormat="1" applyFont="1" applyFill="1" applyBorder="1" applyAlignment="1">
      <alignment horizontal="center" vertical="center" wrapText="1"/>
    </xf>
    <xf numFmtId="168" fontId="76" fillId="14" borderId="3" xfId="1" applyNumberFormat="1" applyFont="1" applyFill="1" applyBorder="1" applyAlignment="1">
      <alignment vertical="center"/>
    </xf>
    <xf numFmtId="168" fontId="64" fillId="15" borderId="3" xfId="1" applyNumberFormat="1" applyFont="1" applyFill="1" applyBorder="1" applyAlignment="1">
      <alignment vertical="center"/>
    </xf>
    <xf numFmtId="0" fontId="32" fillId="0" borderId="0" xfId="0" applyFont="1" applyAlignment="1">
      <alignment vertical="center"/>
    </xf>
    <xf numFmtId="0" fontId="77" fillId="0" borderId="3" xfId="0" applyFont="1" applyFill="1" applyBorder="1" applyAlignment="1">
      <alignment horizontal="center" wrapText="1"/>
    </xf>
    <xf numFmtId="164" fontId="78" fillId="0" borderId="3" xfId="1" quotePrefix="1" applyNumberFormat="1" applyFont="1" applyFill="1" applyBorder="1" applyAlignment="1">
      <alignment horizontal="center"/>
    </xf>
    <xf numFmtId="43" fontId="78" fillId="0" borderId="3" xfId="1" quotePrefix="1" applyFont="1" applyFill="1" applyBorder="1" applyAlignment="1">
      <alignment horizontal="center"/>
    </xf>
    <xf numFmtId="1" fontId="76" fillId="0" borderId="3" xfId="0" applyNumberFormat="1" applyFont="1" applyFill="1" applyBorder="1" applyAlignment="1">
      <alignment horizontal="center" vertical="center"/>
    </xf>
    <xf numFmtId="177" fontId="64" fillId="0" borderId="10" xfId="0" applyNumberFormat="1" applyFont="1" applyFill="1" applyBorder="1" applyAlignment="1">
      <alignment horizontal="centerContinuous" vertical="center" wrapText="1"/>
    </xf>
    <xf numFmtId="168" fontId="76" fillId="0" borderId="3" xfId="1" applyNumberFormat="1" applyFont="1" applyFill="1" applyBorder="1" applyAlignment="1">
      <alignment horizontal="centerContinuous" vertical="center" wrapText="1"/>
    </xf>
    <xf numFmtId="0" fontId="36" fillId="0" borderId="3" xfId="0" applyFont="1" applyFill="1" applyBorder="1" applyAlignment="1">
      <alignment horizontal="center" wrapText="1"/>
    </xf>
    <xf numFmtId="175" fontId="76" fillId="0" borderId="3" xfId="1" applyNumberFormat="1" applyFont="1" applyFill="1" applyBorder="1" applyAlignment="1">
      <alignment vertical="center"/>
    </xf>
    <xf numFmtId="168" fontId="79" fillId="15" borderId="3" xfId="1" applyNumberFormat="1" applyFont="1" applyFill="1" applyBorder="1" applyAlignment="1">
      <alignment vertical="center"/>
    </xf>
    <xf numFmtId="172" fontId="80" fillId="0" borderId="3" xfId="0" quotePrefix="1" applyNumberFormat="1" applyFont="1" applyFill="1" applyBorder="1" applyAlignment="1">
      <alignment horizontal="center" vertical="center"/>
    </xf>
    <xf numFmtId="172" fontId="79" fillId="0" borderId="10" xfId="0" quotePrefix="1" applyNumberFormat="1" applyFont="1" applyFill="1" applyBorder="1" applyAlignment="1">
      <alignment horizontal="centerContinuous" vertical="center" wrapText="1"/>
    </xf>
    <xf numFmtId="175" fontId="80" fillId="0" borderId="3" xfId="1" quotePrefix="1" applyNumberFormat="1" applyFont="1" applyFill="1" applyBorder="1" applyAlignment="1">
      <alignment horizontal="centerContinuous" vertical="center"/>
    </xf>
    <xf numFmtId="0" fontId="80" fillId="14" borderId="3" xfId="0" quotePrefix="1" applyNumberFormat="1" applyFont="1" applyFill="1" applyBorder="1" applyAlignment="1">
      <alignment vertical="center"/>
    </xf>
    <xf numFmtId="168" fontId="80" fillId="14" borderId="3" xfId="1" applyNumberFormat="1" applyFont="1" applyFill="1" applyBorder="1" applyAlignment="1">
      <alignment vertical="center"/>
    </xf>
    <xf numFmtId="0" fontId="81" fillId="0" borderId="0" xfId="0" applyFont="1" applyAlignment="1">
      <alignment vertical="center"/>
    </xf>
    <xf numFmtId="172" fontId="74" fillId="0" borderId="3" xfId="0" quotePrefix="1" applyNumberFormat="1" applyFont="1" applyFill="1" applyBorder="1" applyAlignment="1">
      <alignment horizontal="center" vertical="center"/>
    </xf>
    <xf numFmtId="172" fontId="74" fillId="0" borderId="10" xfId="0" quotePrefix="1" applyNumberFormat="1" applyFont="1" applyFill="1" applyBorder="1" applyAlignment="1">
      <alignment horizontal="centerContinuous" vertical="center" wrapText="1"/>
    </xf>
    <xf numFmtId="175" fontId="74" fillId="0" borderId="3" xfId="1" quotePrefix="1" applyNumberFormat="1" applyFont="1" applyFill="1" applyBorder="1" applyAlignment="1">
      <alignment horizontal="centerContinuous" vertical="center" wrapText="1"/>
    </xf>
    <xf numFmtId="168" fontId="74" fillId="14" borderId="3" xfId="1" applyNumberFormat="1" applyFont="1" applyFill="1" applyBorder="1" applyAlignment="1">
      <alignment vertical="center"/>
    </xf>
    <xf numFmtId="168" fontId="74" fillId="15" borderId="3" xfId="1" applyNumberFormat="1" applyFont="1" applyFill="1" applyBorder="1" applyAlignment="1">
      <alignment vertical="center"/>
    </xf>
    <xf numFmtId="0" fontId="82" fillId="0" borderId="0" xfId="0" applyFont="1" applyAlignment="1">
      <alignment vertical="center"/>
    </xf>
    <xf numFmtId="1" fontId="83" fillId="0" borderId="0" xfId="0" applyNumberFormat="1" applyFont="1" applyFill="1" applyBorder="1" applyAlignment="1">
      <alignment horizontal="center" vertical="center"/>
    </xf>
    <xf numFmtId="177" fontId="64" fillId="0" borderId="0" xfId="0" applyNumberFormat="1" applyFont="1" applyFill="1" applyBorder="1" applyAlignment="1">
      <alignment vertical="center"/>
    </xf>
    <xf numFmtId="9" fontId="83" fillId="0" borderId="0" xfId="2" applyFont="1" applyFill="1" applyBorder="1" applyAlignment="1">
      <alignment horizontal="center" vertical="center"/>
    </xf>
    <xf numFmtId="9" fontId="83" fillId="0" borderId="41" xfId="2" applyFont="1" applyFill="1" applyBorder="1" applyAlignment="1">
      <alignment horizontal="center" vertical="center"/>
    </xf>
    <xf numFmtId="1" fontId="76" fillId="0" borderId="0" xfId="0" applyNumberFormat="1" applyFont="1" applyFill="1" applyBorder="1" applyAlignment="1">
      <alignment horizontal="center"/>
    </xf>
    <xf numFmtId="177" fontId="76" fillId="0" borderId="0" xfId="0" applyNumberFormat="1" applyFont="1" applyFill="1" applyBorder="1" applyAlignment="1">
      <alignment horizontal="center"/>
    </xf>
    <xf numFmtId="178" fontId="76" fillId="0" borderId="0" xfId="0" applyNumberFormat="1" applyFont="1" applyFill="1" applyBorder="1" applyAlignment="1"/>
    <xf numFmtId="177" fontId="76" fillId="0" borderId="0" xfId="0" applyNumberFormat="1" applyFont="1" applyFill="1" applyBorder="1" applyAlignment="1"/>
    <xf numFmtId="0" fontId="69" fillId="0" borderId="0" xfId="0" applyFont="1" applyBorder="1"/>
    <xf numFmtId="178" fontId="84" fillId="0" borderId="0" xfId="0" applyNumberFormat="1" applyFont="1" applyFill="1" applyBorder="1" applyAlignment="1"/>
    <xf numFmtId="2" fontId="69" fillId="0" borderId="0" xfId="0" applyNumberFormat="1" applyFont="1"/>
    <xf numFmtId="164" fontId="17" fillId="0" borderId="8" xfId="1" applyNumberFormat="1" applyFont="1" applyBorder="1" applyAlignment="1">
      <alignment horizontal="center" vertical="center"/>
    </xf>
    <xf numFmtId="164" fontId="16" fillId="4" borderId="3" xfId="1" applyNumberFormat="1" applyFont="1" applyFill="1" applyBorder="1" applyAlignment="1">
      <alignment horizontal="center" vertical="center"/>
    </xf>
    <xf numFmtId="3" fontId="85" fillId="3" borderId="4" xfId="0" applyNumberFormat="1" applyFont="1" applyFill="1" applyBorder="1" applyAlignment="1">
      <alignment horizontal="center" vertical="center" wrapText="1"/>
    </xf>
    <xf numFmtId="166" fontId="0" fillId="0" borderId="8" xfId="0" applyNumberFormat="1" applyFont="1" applyBorder="1" applyAlignment="1">
      <alignment horizontal="center" vertical="center"/>
    </xf>
    <xf numFmtId="43" fontId="17" fillId="0" borderId="8" xfId="1" applyNumberFormat="1" applyFont="1" applyBorder="1" applyAlignment="1">
      <alignment horizontal="center" vertical="center"/>
    </xf>
    <xf numFmtId="43" fontId="16" fillId="4" borderId="3" xfId="1" applyNumberFormat="1" applyFont="1" applyFill="1" applyBorder="1" applyAlignment="1">
      <alignment horizontal="center" vertical="center"/>
    </xf>
    <xf numFmtId="175" fontId="17" fillId="0" borderId="8" xfId="1" applyNumberFormat="1" applyFont="1" applyBorder="1" applyAlignment="1">
      <alignment horizontal="center" vertical="center"/>
    </xf>
    <xf numFmtId="175" fontId="16" fillId="4" borderId="3" xfId="1" applyNumberFormat="1" applyFont="1" applyFill="1" applyBorder="1" applyAlignment="1">
      <alignment horizontal="center" vertical="center"/>
    </xf>
    <xf numFmtId="168" fontId="13" fillId="0" borderId="8" xfId="1" applyNumberFormat="1" applyFont="1" applyBorder="1" applyAlignment="1">
      <alignment horizontal="center" vertical="center"/>
    </xf>
    <xf numFmtId="168" fontId="5" fillId="4" borderId="3" xfId="1" applyNumberFormat="1" applyFont="1" applyFill="1" applyBorder="1" applyAlignment="1">
      <alignment horizontal="center" vertical="center"/>
    </xf>
    <xf numFmtId="0" fontId="39" fillId="2" borderId="4" xfId="0" applyFont="1" applyFill="1" applyBorder="1" applyAlignment="1">
      <alignment horizontal="center" vertical="center"/>
    </xf>
    <xf numFmtId="0" fontId="40" fillId="2" borderId="4" xfId="0" applyFont="1" applyFill="1" applyBorder="1" applyAlignment="1">
      <alignment horizontal="center" vertical="center"/>
    </xf>
    <xf numFmtId="3" fontId="87" fillId="3" borderId="4" xfId="0" applyNumberFormat="1" applyFont="1" applyFill="1" applyBorder="1" applyAlignment="1">
      <alignment horizontal="center" vertical="center" wrapText="1"/>
    </xf>
    <xf numFmtId="0" fontId="39" fillId="0" borderId="0" xfId="0" applyFont="1"/>
    <xf numFmtId="0" fontId="78" fillId="2" borderId="4" xfId="0" applyFont="1" applyFill="1" applyBorder="1" applyAlignment="1">
      <alignment horizontal="center" vertical="center"/>
    </xf>
    <xf numFmtId="0" fontId="88" fillId="2" borderId="4" xfId="0" applyFont="1" applyFill="1" applyBorder="1" applyAlignment="1">
      <alignment horizontal="center" vertical="center"/>
    </xf>
    <xf numFmtId="3" fontId="89" fillId="3" borderId="4" xfId="0" applyNumberFormat="1" applyFont="1" applyFill="1" applyBorder="1" applyAlignment="1">
      <alignment horizontal="center" vertical="center" wrapText="1"/>
    </xf>
    <xf numFmtId="3" fontId="90" fillId="3" borderId="4" xfId="0" applyNumberFormat="1" applyFont="1" applyFill="1" applyBorder="1" applyAlignment="1">
      <alignment horizontal="center" vertical="center" wrapText="1"/>
    </xf>
    <xf numFmtId="3" fontId="10" fillId="3" borderId="4" xfId="0" applyNumberFormat="1" applyFont="1" applyFill="1" applyBorder="1" applyAlignment="1">
      <alignment horizontal="center" vertical="center" wrapText="1"/>
    </xf>
    <xf numFmtId="0" fontId="78" fillId="0" borderId="0" xfId="0" applyFont="1"/>
    <xf numFmtId="0" fontId="91" fillId="2" borderId="3" xfId="0" applyFont="1" applyFill="1" applyBorder="1" applyAlignment="1">
      <alignment horizontal="center" vertical="center"/>
    </xf>
    <xf numFmtId="0" fontId="92" fillId="2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3" fontId="93" fillId="3" borderId="3" xfId="0" applyNumberFormat="1" applyFont="1" applyFill="1" applyBorder="1" applyAlignment="1">
      <alignment horizontal="center" vertical="center" wrapText="1"/>
    </xf>
    <xf numFmtId="3" fontId="94" fillId="3" borderId="3" xfId="0" applyNumberFormat="1" applyFont="1" applyFill="1" applyBorder="1" applyAlignment="1">
      <alignment horizontal="center" vertical="center" wrapText="1"/>
    </xf>
    <xf numFmtId="3" fontId="52" fillId="3" borderId="3" xfId="0" applyNumberFormat="1" applyFont="1" applyFill="1" applyBorder="1" applyAlignment="1">
      <alignment horizontal="center" vertical="center" wrapText="1"/>
    </xf>
    <xf numFmtId="0" fontId="91" fillId="0" borderId="0" xfId="0" applyFont="1"/>
    <xf numFmtId="0" fontId="37" fillId="2" borderId="3" xfId="0" applyFont="1" applyFill="1" applyBorder="1" applyAlignment="1">
      <alignment horizontal="center" vertical="center"/>
    </xf>
    <xf numFmtId="0" fontId="64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3" fontId="86" fillId="3" borderId="3" xfId="0" applyNumberFormat="1" applyFont="1" applyFill="1" applyBorder="1" applyAlignment="1">
      <alignment horizontal="center" vertical="center" wrapText="1"/>
    </xf>
    <xf numFmtId="3" fontId="66" fillId="3" borderId="3" xfId="0" applyNumberFormat="1" applyFont="1" applyFill="1" applyBorder="1" applyAlignment="1">
      <alignment horizontal="center" vertical="center" wrapText="1"/>
    </xf>
    <xf numFmtId="3" fontId="65" fillId="3" borderId="3" xfId="0" applyNumberFormat="1" applyFont="1" applyFill="1" applyBorder="1" applyAlignment="1">
      <alignment horizontal="center" vertical="center" wrapText="1"/>
    </xf>
    <xf numFmtId="3" fontId="8" fillId="3" borderId="3" xfId="0" applyNumberFormat="1" applyFont="1" applyFill="1" applyBorder="1" applyAlignment="1">
      <alignment horizontal="center" vertical="center" wrapText="1"/>
    </xf>
    <xf numFmtId="166" fontId="13" fillId="0" borderId="2" xfId="0" applyNumberFormat="1" applyFont="1" applyBorder="1" applyAlignment="1">
      <alignment horizontal="center" vertical="center" wrapText="1"/>
    </xf>
    <xf numFmtId="166" fontId="13" fillId="0" borderId="6" xfId="0" applyNumberFormat="1" applyFont="1" applyBorder="1" applyAlignment="1">
      <alignment horizontal="center" vertical="center" wrapText="1"/>
    </xf>
    <xf numFmtId="166" fontId="13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4" fontId="23" fillId="5" borderId="18" xfId="1" applyNumberFormat="1" applyFont="1" applyFill="1" applyBorder="1" applyAlignment="1">
      <alignment horizontal="center" vertical="center" wrapText="1"/>
    </xf>
    <xf numFmtId="164" fontId="23" fillId="5" borderId="20" xfId="1" applyNumberFormat="1" applyFont="1" applyFill="1" applyBorder="1" applyAlignment="1">
      <alignment horizontal="center" vertical="center" wrapText="1"/>
    </xf>
    <xf numFmtId="3" fontId="25" fillId="5" borderId="14" xfId="0" applyNumberFormat="1" applyFont="1" applyFill="1" applyBorder="1" applyAlignment="1">
      <alignment horizontal="center" vertical="center" wrapText="1"/>
    </xf>
    <xf numFmtId="3" fontId="25" fillId="5" borderId="3" xfId="0" applyNumberFormat="1" applyFont="1" applyFill="1" applyBorder="1" applyAlignment="1">
      <alignment horizontal="center" vertical="center" wrapText="1"/>
    </xf>
    <xf numFmtId="170" fontId="25" fillId="5" borderId="15" xfId="1" applyNumberFormat="1" applyFont="1" applyFill="1" applyBorder="1" applyAlignment="1">
      <alignment horizontal="center" vertical="center" wrapText="1"/>
    </xf>
    <xf numFmtId="170" fontId="25" fillId="5" borderId="4" xfId="1" applyNumberFormat="1" applyFont="1" applyFill="1" applyBorder="1" applyAlignment="1">
      <alignment horizontal="center" vertical="center" wrapText="1"/>
    </xf>
    <xf numFmtId="164" fontId="25" fillId="5" borderId="18" xfId="1" applyNumberFormat="1" applyFont="1" applyFill="1" applyBorder="1" applyAlignment="1">
      <alignment horizontal="center" vertical="center" wrapText="1"/>
    </xf>
    <xf numFmtId="164" fontId="25" fillId="5" borderId="20" xfId="1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/>
    </xf>
    <xf numFmtId="3" fontId="23" fillId="5" borderId="13" xfId="0" applyNumberFormat="1" applyFont="1" applyFill="1" applyBorder="1" applyAlignment="1">
      <alignment horizontal="center" vertical="center"/>
    </xf>
    <xf numFmtId="3" fontId="23" fillId="5" borderId="19" xfId="0" applyNumberFormat="1" applyFont="1" applyFill="1" applyBorder="1" applyAlignment="1">
      <alignment horizontal="center" vertical="center"/>
    </xf>
    <xf numFmtId="3" fontId="23" fillId="5" borderId="14" xfId="0" applyNumberFormat="1" applyFont="1" applyFill="1" applyBorder="1" applyAlignment="1">
      <alignment horizontal="center" vertical="center"/>
    </xf>
    <xf numFmtId="3" fontId="23" fillId="5" borderId="3" xfId="0" applyNumberFormat="1" applyFont="1" applyFill="1" applyBorder="1" applyAlignment="1">
      <alignment horizontal="center" vertical="center"/>
    </xf>
    <xf numFmtId="3" fontId="23" fillId="5" borderId="15" xfId="0" applyNumberFormat="1" applyFont="1" applyFill="1" applyBorder="1" applyAlignment="1">
      <alignment horizontal="center" vertical="center" wrapText="1"/>
    </xf>
    <xf numFmtId="3" fontId="23" fillId="5" borderId="4" xfId="0" applyNumberFormat="1" applyFont="1" applyFill="1" applyBorder="1" applyAlignment="1">
      <alignment horizontal="center" vertical="center"/>
    </xf>
    <xf numFmtId="169" fontId="23" fillId="5" borderId="15" xfId="0" applyNumberFormat="1" applyFont="1" applyFill="1" applyBorder="1" applyAlignment="1">
      <alignment horizontal="center" vertical="center" wrapText="1"/>
    </xf>
    <xf numFmtId="169" fontId="23" fillId="5" borderId="4" xfId="0" applyNumberFormat="1" applyFont="1" applyFill="1" applyBorder="1" applyAlignment="1">
      <alignment horizontal="center" vertical="center" wrapText="1"/>
    </xf>
    <xf numFmtId="3" fontId="23" fillId="5" borderId="14" xfId="0" applyNumberFormat="1" applyFont="1" applyFill="1" applyBorder="1" applyAlignment="1">
      <alignment horizontal="center" vertical="center" wrapText="1"/>
    </xf>
    <xf numFmtId="3" fontId="23" fillId="5" borderId="3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1" fontId="11" fillId="0" borderId="31" xfId="0" applyNumberFormat="1" applyFont="1" applyFill="1" applyBorder="1" applyAlignment="1">
      <alignment horizontal="center"/>
    </xf>
    <xf numFmtId="170" fontId="23" fillId="5" borderId="16" xfId="1" applyNumberFormat="1" applyFont="1" applyFill="1" applyBorder="1" applyAlignment="1">
      <alignment horizontal="center" vertical="center" wrapText="1"/>
    </xf>
    <xf numFmtId="170" fontId="23" fillId="5" borderId="17" xfId="1" applyNumberFormat="1" applyFont="1" applyFill="1" applyBorder="1" applyAlignment="1">
      <alignment horizontal="center" vertical="center" wrapText="1"/>
    </xf>
    <xf numFmtId="3" fontId="25" fillId="5" borderId="13" xfId="0" applyNumberFormat="1" applyFont="1" applyFill="1" applyBorder="1" applyAlignment="1">
      <alignment horizontal="center" vertical="center"/>
    </xf>
    <xf numFmtId="3" fontId="25" fillId="5" borderId="19" xfId="0" applyNumberFormat="1" applyFont="1" applyFill="1" applyBorder="1" applyAlignment="1">
      <alignment horizontal="center" vertical="center"/>
    </xf>
    <xf numFmtId="3" fontId="25" fillId="5" borderId="14" xfId="0" applyNumberFormat="1" applyFont="1" applyFill="1" applyBorder="1" applyAlignment="1">
      <alignment horizontal="center" vertical="center"/>
    </xf>
    <xf numFmtId="3" fontId="25" fillId="5" borderId="3" xfId="0" applyNumberFormat="1" applyFont="1" applyFill="1" applyBorder="1" applyAlignment="1">
      <alignment horizontal="center" vertical="center"/>
    </xf>
    <xf numFmtId="3" fontId="25" fillId="5" borderId="15" xfId="0" applyNumberFormat="1" applyFont="1" applyFill="1" applyBorder="1" applyAlignment="1">
      <alignment horizontal="center" vertical="center" wrapText="1"/>
    </xf>
    <xf numFmtId="3" fontId="25" fillId="5" borderId="4" xfId="0" applyNumberFormat="1" applyFont="1" applyFill="1" applyBorder="1" applyAlignment="1">
      <alignment horizontal="center" vertical="center"/>
    </xf>
    <xf numFmtId="169" fontId="25" fillId="5" borderId="15" xfId="0" applyNumberFormat="1" applyFont="1" applyFill="1" applyBorder="1" applyAlignment="1">
      <alignment horizontal="center" vertical="center" wrapText="1"/>
    </xf>
    <xf numFmtId="169" fontId="25" fillId="5" borderId="4" xfId="0" applyNumberFormat="1" applyFont="1" applyFill="1" applyBorder="1" applyAlignment="1">
      <alignment horizontal="center" vertical="center" wrapText="1"/>
    </xf>
    <xf numFmtId="164" fontId="30" fillId="5" borderId="15" xfId="1" applyNumberFormat="1" applyFont="1" applyFill="1" applyBorder="1" applyAlignment="1">
      <alignment horizontal="center" vertical="center" wrapText="1"/>
    </xf>
    <xf numFmtId="164" fontId="30" fillId="5" borderId="4" xfId="1" applyNumberFormat="1" applyFont="1" applyFill="1" applyBorder="1" applyAlignment="1">
      <alignment horizontal="center" vertical="center" wrapText="1"/>
    </xf>
    <xf numFmtId="0" fontId="38" fillId="0" borderId="0" xfId="0" applyFont="1" applyFill="1" applyAlignment="1">
      <alignment horizontal="center"/>
    </xf>
    <xf numFmtId="1" fontId="40" fillId="3" borderId="2" xfId="0" applyNumberFormat="1" applyFont="1" applyFill="1" applyBorder="1" applyAlignment="1">
      <alignment horizontal="center" wrapText="1"/>
    </xf>
    <xf numFmtId="1" fontId="40" fillId="3" borderId="4" xfId="0" applyNumberFormat="1" applyFont="1" applyFill="1" applyBorder="1" applyAlignment="1">
      <alignment horizontal="center"/>
    </xf>
    <xf numFmtId="0" fontId="33" fillId="3" borderId="10" xfId="0" applyFont="1" applyFill="1" applyBorder="1" applyAlignment="1">
      <alignment horizontal="center"/>
    </xf>
    <xf numFmtId="0" fontId="33" fillId="3" borderId="12" xfId="0" applyFont="1" applyFill="1" applyBorder="1" applyAlignment="1">
      <alignment horizontal="center"/>
    </xf>
    <xf numFmtId="3" fontId="23" fillId="5" borderId="16" xfId="0" applyNumberFormat="1" applyFont="1" applyFill="1" applyBorder="1" applyAlignment="1">
      <alignment horizontal="center" vertical="center" wrapText="1"/>
    </xf>
    <xf numFmtId="3" fontId="23" fillId="5" borderId="17" xfId="0" applyNumberFormat="1" applyFont="1" applyFill="1" applyBorder="1" applyAlignment="1">
      <alignment horizontal="center" vertical="center" wrapText="1"/>
    </xf>
    <xf numFmtId="3" fontId="23" fillId="5" borderId="37" xfId="0" applyNumberFormat="1" applyFont="1" applyFill="1" applyBorder="1" applyAlignment="1">
      <alignment horizontal="center" vertical="center" wrapText="1"/>
    </xf>
    <xf numFmtId="0" fontId="67" fillId="0" borderId="0" xfId="0" applyFont="1" applyBorder="1" applyAlignment="1">
      <alignment horizontal="center"/>
    </xf>
    <xf numFmtId="177" fontId="76" fillId="0" borderId="0" xfId="0" applyNumberFormat="1" applyFont="1" applyFill="1" applyBorder="1" applyAlignment="1">
      <alignment horizontal="center"/>
    </xf>
    <xf numFmtId="0" fontId="68" fillId="0" borderId="0" xfId="0" applyFont="1" applyFill="1" applyAlignment="1">
      <alignment horizontal="center"/>
    </xf>
    <xf numFmtId="0" fontId="64" fillId="0" borderId="0" xfId="0" applyFont="1" applyFill="1" applyAlignment="1">
      <alignment horizontal="center"/>
    </xf>
    <xf numFmtId="0" fontId="53" fillId="0" borderId="3" xfId="0" applyFont="1" applyFill="1" applyBorder="1" applyAlignment="1">
      <alignment horizontal="center" vertical="center"/>
    </xf>
    <xf numFmtId="0" fontId="53" fillId="14" borderId="10" xfId="0" applyFont="1" applyFill="1" applyBorder="1" applyAlignment="1">
      <alignment horizontal="center" vertical="center"/>
    </xf>
    <xf numFmtId="0" fontId="53" fillId="14" borderId="11" xfId="0" applyFont="1" applyFill="1" applyBorder="1" applyAlignment="1">
      <alignment horizontal="center" vertical="center"/>
    </xf>
    <xf numFmtId="0" fontId="53" fillId="14" borderId="12" xfId="0" applyFont="1" applyFill="1" applyBorder="1" applyAlignment="1">
      <alignment horizontal="center" vertical="center"/>
    </xf>
    <xf numFmtId="0" fontId="53" fillId="15" borderId="10" xfId="0" applyFont="1" applyFill="1" applyBorder="1" applyAlignment="1">
      <alignment horizontal="center" vertical="center"/>
    </xf>
    <xf numFmtId="0" fontId="53" fillId="15" borderId="11" xfId="0" applyFont="1" applyFill="1" applyBorder="1" applyAlignment="1">
      <alignment horizontal="center" vertical="center"/>
    </xf>
    <xf numFmtId="0" fontId="53" fillId="15" borderId="12" xfId="0" applyFont="1" applyFill="1" applyBorder="1" applyAlignment="1">
      <alignment horizontal="center" vertical="center"/>
    </xf>
  </cellXfs>
  <cellStyles count="4">
    <cellStyle name="Comma" xfId="1" builtinId="3"/>
    <cellStyle name="Comma 2" xf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1-0711%20KL%20X&#194;Y-T&#212;%20t&#432;&#7901;ng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1-1124%20KL%20&#7888;P%20L&#193;T%20tinh%20to&#225;n%20t&#7847;ng%2020-4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XAY F16-21"/>
      <sheetName val="XAY F24-34"/>
      <sheetName val="XAY F35-MAI"/>
      <sheetName val="XAY chi tiet"/>
      <sheetName val="TH xay to"/>
      <sheetName val="TRAT BT"/>
      <sheetName val="OP-LAT-THAM"/>
      <sheetName val="TO chi tiet"/>
      <sheetName val="TH op lat"/>
      <sheetName val="TK CUA"/>
      <sheetName val="TK cua theo xay"/>
      <sheetName val="tien do"/>
    </sheetNames>
    <sheetDataSet>
      <sheetData sheetId="0">
        <row r="9">
          <cell r="H9">
            <v>409.59329999999989</v>
          </cell>
          <cell r="I9">
            <v>581.20604000000026</v>
          </cell>
          <cell r="J9">
            <v>291.30510000000004</v>
          </cell>
          <cell r="K9">
            <v>26.390000000000004</v>
          </cell>
          <cell r="L9">
            <v>125.41600000000003</v>
          </cell>
          <cell r="M9">
            <v>1270.5083300000001</v>
          </cell>
          <cell r="N9">
            <v>42.81</v>
          </cell>
          <cell r="O9">
            <v>0</v>
          </cell>
          <cell r="P9">
            <v>7.7309999999999999</v>
          </cell>
          <cell r="Q9">
            <v>13.737687999999999</v>
          </cell>
          <cell r="S9">
            <v>5270.9009399999986</v>
          </cell>
          <cell r="T9">
            <v>317.69510000000014</v>
          </cell>
        </row>
        <row r="588">
          <cell r="H588">
            <v>529.78779999999983</v>
          </cell>
          <cell r="I588">
            <v>467.97391999999985</v>
          </cell>
          <cell r="J588">
            <v>251.85780000000005</v>
          </cell>
          <cell r="K588">
            <v>17.940000000000005</v>
          </cell>
          <cell r="L588">
            <v>115.72880000000002</v>
          </cell>
          <cell r="M588">
            <v>1233.9713399999996</v>
          </cell>
          <cell r="N588">
            <v>85.07</v>
          </cell>
          <cell r="O588">
            <v>0</v>
          </cell>
          <cell r="P588">
            <v>7.7309999999999999</v>
          </cell>
          <cell r="Q588">
            <v>15.585175999999997</v>
          </cell>
          <cell r="S588">
            <v>5142.5925199999965</v>
          </cell>
          <cell r="T588">
            <v>269.79780000000005</v>
          </cell>
        </row>
      </sheetData>
      <sheetData sheetId="1">
        <row r="345">
          <cell r="H345">
            <v>562.22879999999986</v>
          </cell>
          <cell r="I345">
            <v>479.41691999999989</v>
          </cell>
          <cell r="J345">
            <v>257.04770000000008</v>
          </cell>
          <cell r="K345">
            <v>21.620000000000008</v>
          </cell>
          <cell r="L345">
            <v>103.63000000000002</v>
          </cell>
          <cell r="M345">
            <v>1138.8221200000003</v>
          </cell>
          <cell r="N345">
            <v>42.81</v>
          </cell>
          <cell r="O345">
            <v>0</v>
          </cell>
          <cell r="P345">
            <v>7.7309999999999999</v>
          </cell>
          <cell r="Q345">
            <v>12.652287999999997</v>
          </cell>
          <cell r="S345">
            <v>4940.2143800000003</v>
          </cell>
          <cell r="T345">
            <v>278.66770000000008</v>
          </cell>
        </row>
        <row r="656">
          <cell r="H656">
            <v>384.97734000000003</v>
          </cell>
          <cell r="I656">
            <v>504.62896000000001</v>
          </cell>
          <cell r="J656">
            <v>221.53615000000008</v>
          </cell>
          <cell r="K656">
            <v>22.680000000000007</v>
          </cell>
          <cell r="L656">
            <v>69.25</v>
          </cell>
          <cell r="M656">
            <v>1214.9081099999996</v>
          </cell>
          <cell r="N656">
            <v>42.81</v>
          </cell>
          <cell r="O656">
            <v>73.423999999999992</v>
          </cell>
          <cell r="P656">
            <v>7.7309999999999999</v>
          </cell>
          <cell r="Q656">
            <v>13.976404754404108</v>
          </cell>
          <cell r="S656">
            <v>4831.9439699999984</v>
          </cell>
          <cell r="T656">
            <v>244.21615000000006</v>
          </cell>
        </row>
        <row r="996">
          <cell r="H996">
            <v>352.25529999999986</v>
          </cell>
          <cell r="I996">
            <v>539.54896000000008</v>
          </cell>
          <cell r="J996">
            <v>239.87350000000004</v>
          </cell>
          <cell r="K996">
            <v>20.800000000000008</v>
          </cell>
          <cell r="L996">
            <v>69.000800000000012</v>
          </cell>
          <cell r="M996">
            <v>1025.0690200000001</v>
          </cell>
          <cell r="N996">
            <v>85.07</v>
          </cell>
          <cell r="O996">
            <v>0</v>
          </cell>
          <cell r="P996">
            <v>7.7309999999999999</v>
          </cell>
          <cell r="Q996">
            <v>12.694375999999998</v>
          </cell>
          <cell r="S996">
            <v>4410.2926599999982</v>
          </cell>
          <cell r="T996">
            <v>260.6735000000001</v>
          </cell>
        </row>
      </sheetData>
      <sheetData sheetId="2">
        <row r="11">
          <cell r="H11">
            <v>335.30929999999989</v>
          </cell>
          <cell r="I11">
            <v>496.24196000000006</v>
          </cell>
          <cell r="J11">
            <v>238.52100000000004</v>
          </cell>
          <cell r="K11">
            <v>18.720000000000006</v>
          </cell>
          <cell r="L11">
            <v>61.793999999999997</v>
          </cell>
          <cell r="M11">
            <v>1013.75596</v>
          </cell>
          <cell r="N11">
            <v>42.81</v>
          </cell>
          <cell r="O11">
            <v>0</v>
          </cell>
          <cell r="P11">
            <v>7.7309999999999999</v>
          </cell>
          <cell r="Q11">
            <v>11.861088000000001</v>
          </cell>
          <cell r="S11">
            <v>4164.7944400000006</v>
          </cell>
          <cell r="T11">
            <v>257.2410000000001</v>
          </cell>
        </row>
        <row r="231">
          <cell r="H231">
            <v>345.99929999999989</v>
          </cell>
          <cell r="I231">
            <v>497.15291999999999</v>
          </cell>
          <cell r="J231">
            <v>244.93350000000007</v>
          </cell>
          <cell r="K231">
            <v>21.900000000000006</v>
          </cell>
          <cell r="L231">
            <v>63.093999999999994</v>
          </cell>
          <cell r="M231">
            <v>1012.5587399999998</v>
          </cell>
          <cell r="N231">
            <v>42.81</v>
          </cell>
          <cell r="O231">
            <v>0</v>
          </cell>
          <cell r="P231">
            <v>7.7309999999999999</v>
          </cell>
          <cell r="Q231">
            <v>11.524087999999999</v>
          </cell>
          <cell r="S231">
            <v>4197.7944200000011</v>
          </cell>
          <cell r="T231">
            <v>266.83350000000007</v>
          </cell>
        </row>
        <row r="495">
          <cell r="H495">
            <v>476.75879999999989</v>
          </cell>
          <cell r="I495">
            <v>366.58110000000005</v>
          </cell>
          <cell r="J495">
            <v>307.72410000000008</v>
          </cell>
          <cell r="K495">
            <v>0</v>
          </cell>
          <cell r="L495">
            <v>225.85399999999998</v>
          </cell>
          <cell r="M495">
            <v>937.26049999999998</v>
          </cell>
          <cell r="O495">
            <v>0</v>
          </cell>
          <cell r="P495">
            <v>8.1739999999999995</v>
          </cell>
          <cell r="Q495">
            <v>14.129087999999999</v>
          </cell>
          <cell r="S495">
            <v>4859.7809000000016</v>
          </cell>
          <cell r="T495">
            <v>348.93410000000011</v>
          </cell>
        </row>
        <row r="797">
          <cell r="H797">
            <v>240.32960000000074</v>
          </cell>
          <cell r="I797">
            <v>203.39692000000076</v>
          </cell>
          <cell r="J797">
            <v>236.03190000000049</v>
          </cell>
          <cell r="K797">
            <v>43.636000000000145</v>
          </cell>
          <cell r="L797">
            <v>71.12100000000018</v>
          </cell>
          <cell r="M797">
            <v>454.49900000000116</v>
          </cell>
          <cell r="N797">
            <v>77.75</v>
          </cell>
          <cell r="O797">
            <v>0</v>
          </cell>
          <cell r="P797">
            <v>7.7059999999999995</v>
          </cell>
          <cell r="Q797">
            <v>14.037030000000005</v>
          </cell>
          <cell r="S797">
            <v>2453.1279100000093</v>
          </cell>
          <cell r="T797">
            <v>356.99415000000067</v>
          </cell>
        </row>
        <row r="1081">
          <cell r="H1081">
            <v>120.64683999999986</v>
          </cell>
          <cell r="I1081">
            <v>87.789799999999872</v>
          </cell>
          <cell r="J1081">
            <v>598.15081154663051</v>
          </cell>
          <cell r="K1081">
            <v>8.5559999999999903</v>
          </cell>
          <cell r="L1081">
            <v>18.031999999999996</v>
          </cell>
          <cell r="M1081">
            <v>130.82399999999987</v>
          </cell>
          <cell r="O1081">
            <v>0</v>
          </cell>
          <cell r="P1081">
            <v>3.3579999999999997</v>
          </cell>
          <cell r="Q1081">
            <v>1.2538800000000001</v>
          </cell>
          <cell r="S1081">
            <v>1300.4423199999985</v>
          </cell>
          <cell r="T1081">
            <v>786.4145830932614</v>
          </cell>
        </row>
      </sheetData>
      <sheetData sheetId="3"/>
      <sheetData sheetId="4"/>
      <sheetData sheetId="5">
        <row r="11">
          <cell r="L11">
            <v>250.88</v>
          </cell>
        </row>
        <row r="12">
          <cell r="L12">
            <v>752.64</v>
          </cell>
        </row>
        <row r="13">
          <cell r="L13">
            <v>232.95999999999998</v>
          </cell>
        </row>
        <row r="17">
          <cell r="K17">
            <v>369.4104999999999</v>
          </cell>
        </row>
        <row r="39">
          <cell r="K39">
            <v>312.60699999999991</v>
          </cell>
        </row>
        <row r="63">
          <cell r="K63">
            <v>293.97799999999989</v>
          </cell>
        </row>
        <row r="103">
          <cell r="K103">
            <v>270.678</v>
          </cell>
        </row>
        <row r="125">
          <cell r="K125">
            <v>411.46950000000004</v>
          </cell>
        </row>
        <row r="150">
          <cell r="K150">
            <v>398.49725000000012</v>
          </cell>
        </row>
        <row r="175">
          <cell r="K175">
            <v>381.45225000000005</v>
          </cell>
        </row>
        <row r="201">
          <cell r="K201">
            <v>420.35825000000011</v>
          </cell>
        </row>
        <row r="227">
          <cell r="K227">
            <v>365.05200000000002</v>
          </cell>
        </row>
        <row r="250">
          <cell r="K250">
            <v>363.87700000000007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K CUA"/>
      <sheetName val="chi tiet op lat tang 38"/>
      <sheetName val="OP-LAT TANG 20-39"/>
      <sheetName val="OP-LAT TANG 40-41"/>
      <sheetName val="TH OP-LAT TANG 20-41"/>
      <sheetName val="TH vat tu OP-LAT TANG 20-41"/>
      <sheetName val="op lat tang 38-37-33 ngay 7.12"/>
      <sheetName val="op lat T38-37-33 ngay 3.01.12"/>
    </sheetNames>
    <sheetDataSet>
      <sheetData sheetId="0"/>
      <sheetData sheetId="1"/>
      <sheetData sheetId="2">
        <row r="11">
          <cell r="G11">
            <v>5151.5000000000018</v>
          </cell>
          <cell r="H11">
            <v>3326.3600000000019</v>
          </cell>
          <cell r="I11">
            <v>14625.222499999993</v>
          </cell>
          <cell r="J11">
            <v>197.01000000000005</v>
          </cell>
        </row>
      </sheetData>
      <sheetData sheetId="3">
        <row r="11">
          <cell r="G11">
            <v>80.3</v>
          </cell>
          <cell r="H11">
            <v>172.71</v>
          </cell>
          <cell r="I11">
            <v>308.54000000000002</v>
          </cell>
          <cell r="K11">
            <v>1138.1719999999998</v>
          </cell>
          <cell r="L11">
            <v>14.039999999999996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V19"/>
  <sheetViews>
    <sheetView topLeftCell="A4" workbookViewId="0">
      <selection activeCell="E9" sqref="E9"/>
    </sheetView>
  </sheetViews>
  <sheetFormatPr defaultColWidth="28.140625" defaultRowHeight="16.5" outlineLevelCol="1"/>
  <cols>
    <col min="1" max="1" width="3.5703125" style="3" bestFit="1" customWidth="1"/>
    <col min="2" max="2" width="39.140625" style="37" customWidth="1"/>
    <col min="3" max="3" width="5.5703125" style="38" bestFit="1" customWidth="1"/>
    <col min="4" max="4" width="4.85546875" style="39" bestFit="1" customWidth="1" collapsed="1"/>
    <col min="5" max="5" width="9.5703125" style="40" bestFit="1" customWidth="1" collapsed="1"/>
    <col min="6" max="8" width="9" style="40" hidden="1" customWidth="1" outlineLevel="1"/>
    <col min="9" max="10" width="7.42578125" style="40" hidden="1" customWidth="1" outlineLevel="1"/>
    <col min="11" max="11" width="7.42578125" style="41" hidden="1" customWidth="1" outlineLevel="1"/>
    <col min="12" max="12" width="9" style="41" hidden="1" customWidth="1" outlineLevel="1"/>
    <col min="13" max="13" width="8.140625" style="41" hidden="1" customWidth="1" outlineLevel="1"/>
    <col min="14" max="18" width="7.42578125" style="40" hidden="1" customWidth="1" outlineLevel="1"/>
    <col min="19" max="19" width="4.85546875" style="39" customWidth="1"/>
    <col min="20" max="22" width="11.85546875" style="39" customWidth="1"/>
    <col min="23" max="16384" width="28.140625" style="5"/>
  </cols>
  <sheetData>
    <row r="1" spans="1:22" s="44" customFormat="1" ht="18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8.75">
      <c r="B2" s="1"/>
      <c r="C2" s="2"/>
      <c r="D2" s="2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2"/>
      <c r="T2" s="2"/>
      <c r="U2" s="2"/>
      <c r="V2" s="2"/>
    </row>
    <row r="3" spans="1:22" ht="16.5" customHeight="1">
      <c r="A3" s="477" t="s">
        <v>0</v>
      </c>
      <c r="B3" s="479" t="s">
        <v>1</v>
      </c>
      <c r="C3" s="481" t="s">
        <v>2</v>
      </c>
      <c r="D3" s="475" t="s">
        <v>3</v>
      </c>
      <c r="E3" s="469" t="s">
        <v>4</v>
      </c>
      <c r="F3" s="6">
        <v>20</v>
      </c>
      <c r="G3" s="6">
        <v>19</v>
      </c>
      <c r="H3" s="6">
        <v>21</v>
      </c>
      <c r="I3" s="6">
        <v>22</v>
      </c>
      <c r="J3" s="6">
        <v>24</v>
      </c>
      <c r="K3" s="6">
        <v>25</v>
      </c>
      <c r="L3" s="6" t="s">
        <v>5</v>
      </c>
      <c r="M3" s="6" t="s">
        <v>6</v>
      </c>
      <c r="N3" s="6">
        <v>36</v>
      </c>
      <c r="O3" s="6">
        <v>37</v>
      </c>
      <c r="P3" s="6">
        <v>38</v>
      </c>
      <c r="Q3" s="6">
        <v>39</v>
      </c>
      <c r="R3" s="6">
        <v>41</v>
      </c>
      <c r="S3" s="475" t="s">
        <v>33</v>
      </c>
      <c r="T3" s="469" t="s">
        <v>32</v>
      </c>
      <c r="U3" s="469"/>
      <c r="V3" s="469" t="s">
        <v>34</v>
      </c>
    </row>
    <row r="4" spans="1:22" ht="16.5" customHeight="1">
      <c r="A4" s="478"/>
      <c r="B4" s="480"/>
      <c r="C4" s="482"/>
      <c r="D4" s="483"/>
      <c r="E4" s="469"/>
      <c r="F4" s="8" t="s">
        <v>27</v>
      </c>
      <c r="G4" s="8" t="s">
        <v>28</v>
      </c>
      <c r="H4" s="8" t="s">
        <v>29</v>
      </c>
      <c r="I4" s="8">
        <v>24</v>
      </c>
      <c r="J4" s="8">
        <v>25</v>
      </c>
      <c r="K4" s="8">
        <v>26</v>
      </c>
      <c r="L4" s="8" t="s">
        <v>30</v>
      </c>
      <c r="M4" s="8" t="s">
        <v>31</v>
      </c>
      <c r="N4" s="8">
        <v>37</v>
      </c>
      <c r="O4" s="8">
        <v>38</v>
      </c>
      <c r="P4" s="8">
        <v>39</v>
      </c>
      <c r="Q4" s="8">
        <v>40</v>
      </c>
      <c r="R4" s="8">
        <v>41</v>
      </c>
      <c r="S4" s="476"/>
      <c r="T4" s="469"/>
      <c r="U4" s="469"/>
      <c r="V4" s="469"/>
    </row>
    <row r="5" spans="1:22" s="14" customFormat="1">
      <c r="A5" s="9"/>
      <c r="B5" s="10" t="s">
        <v>7</v>
      </c>
      <c r="C5" s="11"/>
      <c r="D5" s="12"/>
      <c r="E5" s="13">
        <f t="shared" ref="E5:E15" si="0">SUM(F5:R5)</f>
        <v>21</v>
      </c>
      <c r="F5" s="13">
        <v>1</v>
      </c>
      <c r="G5" s="13">
        <v>1</v>
      </c>
      <c r="H5" s="13">
        <v>1</v>
      </c>
      <c r="I5" s="13">
        <v>1</v>
      </c>
      <c r="J5" s="13">
        <v>1</v>
      </c>
      <c r="K5" s="13">
        <v>1</v>
      </c>
      <c r="L5" s="13">
        <v>8</v>
      </c>
      <c r="M5" s="13">
        <v>2</v>
      </c>
      <c r="N5" s="13">
        <v>1</v>
      </c>
      <c r="O5" s="13">
        <v>1</v>
      </c>
      <c r="P5" s="13">
        <v>1</v>
      </c>
      <c r="Q5" s="13">
        <v>1</v>
      </c>
      <c r="R5" s="13">
        <v>1</v>
      </c>
      <c r="S5" s="12"/>
      <c r="T5" s="12"/>
      <c r="U5" s="12"/>
      <c r="V5" s="12"/>
    </row>
    <row r="6" spans="1:22" ht="33">
      <c r="A6" s="15">
        <v>2</v>
      </c>
      <c r="B6" s="16" t="s">
        <v>9</v>
      </c>
      <c r="C6" s="17" t="s">
        <v>10</v>
      </c>
      <c r="D6" s="18" t="s">
        <v>8</v>
      </c>
      <c r="E6" s="19">
        <f t="shared" si="0"/>
        <v>1759.3058000000005</v>
      </c>
      <c r="F6" s="20">
        <f>F1720w</f>
        <v>125.41600000000003</v>
      </c>
      <c r="G6" s="20">
        <f>F1820w</f>
        <v>115.72880000000002</v>
      </c>
      <c r="H6" s="20">
        <f>F1820w</f>
        <v>115.72880000000002</v>
      </c>
      <c r="I6" s="20">
        <f>F2420w</f>
        <v>103.63000000000002</v>
      </c>
      <c r="J6" s="20">
        <f>F2520w</f>
        <v>69.25</v>
      </c>
      <c r="K6" s="20">
        <f>F2620w</f>
        <v>69.000800000000012</v>
      </c>
      <c r="L6" s="21">
        <f t="shared" ref="L6:L11" si="1">K6*L$5</f>
        <v>552.0064000000001</v>
      </c>
      <c r="M6" s="21">
        <f t="shared" ref="M6:M11" si="2">N6*M$5</f>
        <v>123.58799999999999</v>
      </c>
      <c r="N6" s="20">
        <f>F3720w</f>
        <v>61.793999999999997</v>
      </c>
      <c r="O6" s="20">
        <f>F3820w</f>
        <v>63.093999999999994</v>
      </c>
      <c r="P6" s="20">
        <f>F3820w</f>
        <v>63.093999999999994</v>
      </c>
      <c r="Q6" s="20">
        <f>F4020w</f>
        <v>225.85399999999998</v>
      </c>
      <c r="R6" s="20">
        <f>F4120w</f>
        <v>71.12100000000018</v>
      </c>
      <c r="S6" s="48">
        <v>0.1</v>
      </c>
      <c r="T6" s="47">
        <f>E6*S6</f>
        <v>175.93058000000008</v>
      </c>
      <c r="U6" s="47"/>
      <c r="V6" s="470" t="s">
        <v>37</v>
      </c>
    </row>
    <row r="7" spans="1:22">
      <c r="A7" s="15">
        <v>4</v>
      </c>
      <c r="B7" s="16" t="s">
        <v>11</v>
      </c>
      <c r="C7" s="17" t="s">
        <v>12</v>
      </c>
      <c r="D7" s="18" t="s">
        <v>8</v>
      </c>
      <c r="E7" s="19">
        <f t="shared" si="0"/>
        <v>10410.150140000002</v>
      </c>
      <c r="F7" s="20">
        <f>F1710t</f>
        <v>581.20604000000026</v>
      </c>
      <c r="G7" s="20">
        <f>F1810t</f>
        <v>467.97391999999985</v>
      </c>
      <c r="H7" s="20">
        <f>F1810t</f>
        <v>467.97391999999985</v>
      </c>
      <c r="I7" s="20">
        <f>F2410t</f>
        <v>479.41691999999989</v>
      </c>
      <c r="J7" s="20">
        <f>F2510t</f>
        <v>504.62896000000001</v>
      </c>
      <c r="K7" s="20">
        <f>F2610t</f>
        <v>539.54896000000008</v>
      </c>
      <c r="L7" s="21">
        <f t="shared" si="1"/>
        <v>4316.3916800000006</v>
      </c>
      <c r="M7" s="21">
        <f t="shared" si="2"/>
        <v>992.48392000000013</v>
      </c>
      <c r="N7" s="20">
        <f>F3710t</f>
        <v>496.24196000000006</v>
      </c>
      <c r="O7" s="20">
        <f>F3810t</f>
        <v>497.15291999999999</v>
      </c>
      <c r="P7" s="20">
        <f>F3810t</f>
        <v>497.15291999999999</v>
      </c>
      <c r="Q7" s="20">
        <f>F4010t</f>
        <v>366.58110000000005</v>
      </c>
      <c r="R7" s="20">
        <f>F4110t</f>
        <v>203.39692000000076</v>
      </c>
      <c r="S7" s="48">
        <v>0.1</v>
      </c>
      <c r="T7" s="47">
        <f t="shared" ref="T7:T15" si="3">E7*S7</f>
        <v>1041.0150140000003</v>
      </c>
      <c r="U7" s="47"/>
      <c r="V7" s="471"/>
    </row>
    <row r="8" spans="1:22" ht="33">
      <c r="A8" s="15">
        <v>5</v>
      </c>
      <c r="B8" s="51" t="s">
        <v>35</v>
      </c>
      <c r="C8" s="23" t="s">
        <v>13</v>
      </c>
      <c r="D8" s="18" t="s">
        <v>8</v>
      </c>
      <c r="E8" s="19">
        <f t="shared" si="0"/>
        <v>21775.94728</v>
      </c>
      <c r="F8" s="20">
        <f>F1710w</f>
        <v>1270.5083300000001</v>
      </c>
      <c r="G8" s="20">
        <f>F1810w</f>
        <v>1233.9713399999996</v>
      </c>
      <c r="H8" s="20">
        <f>F1810w</f>
        <v>1233.9713399999996</v>
      </c>
      <c r="I8" s="20">
        <f>F2410w</f>
        <v>1138.8221200000003</v>
      </c>
      <c r="J8" s="20">
        <f>F2510w</f>
        <v>1214.9081099999996</v>
      </c>
      <c r="K8" s="20">
        <f>F2610w</f>
        <v>1025.0690200000001</v>
      </c>
      <c r="L8" s="21">
        <f t="shared" si="1"/>
        <v>8200.5521600000011</v>
      </c>
      <c r="M8" s="21">
        <f t="shared" si="2"/>
        <v>2027.5119199999999</v>
      </c>
      <c r="N8" s="20">
        <f>F3710w</f>
        <v>1013.75596</v>
      </c>
      <c r="O8" s="20">
        <f>F3810w</f>
        <v>1012.5587399999998</v>
      </c>
      <c r="P8" s="20">
        <f>F3810w</f>
        <v>1012.5587399999998</v>
      </c>
      <c r="Q8" s="20">
        <f>F4010w</f>
        <v>937.26049999999998</v>
      </c>
      <c r="R8" s="20">
        <f>F4110w</f>
        <v>454.49900000000116</v>
      </c>
      <c r="S8" s="48">
        <v>0.15</v>
      </c>
      <c r="T8" s="47">
        <f t="shared" si="3"/>
        <v>3266.392092</v>
      </c>
      <c r="U8" s="47"/>
      <c r="V8" s="471"/>
    </row>
    <row r="9" spans="1:22" ht="33">
      <c r="A9" s="15">
        <v>7</v>
      </c>
      <c r="B9" s="24" t="s">
        <v>14</v>
      </c>
      <c r="C9" s="17" t="s">
        <v>15</v>
      </c>
      <c r="D9" s="25" t="s">
        <v>16</v>
      </c>
      <c r="E9" s="19">
        <f t="shared" si="0"/>
        <v>272.58367475440411</v>
      </c>
      <c r="F9" s="20">
        <f>F17kcpt</f>
        <v>13.737687999999999</v>
      </c>
      <c r="G9" s="20">
        <f>F18kcpt</f>
        <v>15.585175999999997</v>
      </c>
      <c r="H9" s="20">
        <f>F18kcpt</f>
        <v>15.585175999999997</v>
      </c>
      <c r="I9" s="20">
        <f>F24kcpt</f>
        <v>12.652287999999997</v>
      </c>
      <c r="J9" s="20">
        <f>F25kcpt</f>
        <v>13.976404754404108</v>
      </c>
      <c r="K9" s="20">
        <f>F26kcpt</f>
        <v>12.694375999999998</v>
      </c>
      <c r="L9" s="21">
        <f t="shared" si="1"/>
        <v>101.55500799999999</v>
      </c>
      <c r="M9" s="21">
        <f t="shared" si="2"/>
        <v>23.722176000000001</v>
      </c>
      <c r="N9" s="20">
        <f>F37kcpt</f>
        <v>11.861088000000001</v>
      </c>
      <c r="O9" s="20">
        <f>F38kcpt</f>
        <v>11.524087999999999</v>
      </c>
      <c r="P9" s="20">
        <f>F38kcpt</f>
        <v>11.524087999999999</v>
      </c>
      <c r="Q9" s="20">
        <f>F40kcpt</f>
        <v>14.129087999999999</v>
      </c>
      <c r="R9" s="20">
        <f>F41kcpt</f>
        <v>14.037030000000005</v>
      </c>
      <c r="S9" s="49">
        <v>0.5</v>
      </c>
      <c r="T9" s="47">
        <f t="shared" si="3"/>
        <v>136.29183737720206</v>
      </c>
      <c r="U9" s="47"/>
      <c r="V9" s="471"/>
    </row>
    <row r="10" spans="1:22" ht="33">
      <c r="A10" s="15">
        <v>9</v>
      </c>
      <c r="B10" s="16" t="s">
        <v>17</v>
      </c>
      <c r="C10" s="17" t="s">
        <v>18</v>
      </c>
      <c r="D10" s="18" t="s">
        <v>8</v>
      </c>
      <c r="E10" s="19">
        <f t="shared" si="0"/>
        <v>73.423999999999992</v>
      </c>
      <c r="F10" s="20">
        <f>F1725o</f>
        <v>0</v>
      </c>
      <c r="G10" s="20">
        <f>F1825o</f>
        <v>0</v>
      </c>
      <c r="H10" s="20">
        <f>F1825o</f>
        <v>0</v>
      </c>
      <c r="I10" s="20">
        <f>F2425o</f>
        <v>0</v>
      </c>
      <c r="J10" s="20">
        <f>F2525o</f>
        <v>73.423999999999992</v>
      </c>
      <c r="K10" s="20">
        <f>F2625o</f>
        <v>0</v>
      </c>
      <c r="L10" s="21">
        <f t="shared" si="1"/>
        <v>0</v>
      </c>
      <c r="M10" s="21">
        <f t="shared" si="2"/>
        <v>0</v>
      </c>
      <c r="N10" s="20">
        <f>F3725o</f>
        <v>0</v>
      </c>
      <c r="O10" s="20">
        <f>F3825o</f>
        <v>0</v>
      </c>
      <c r="P10" s="20">
        <f>F3825o</f>
        <v>0</v>
      </c>
      <c r="Q10" s="20">
        <f>F4025o</f>
        <v>0</v>
      </c>
      <c r="R10" s="20">
        <f>F4125o</f>
        <v>0</v>
      </c>
      <c r="S10" s="48">
        <v>1</v>
      </c>
      <c r="T10" s="47">
        <f t="shared" si="3"/>
        <v>73.423999999999992</v>
      </c>
      <c r="U10" s="47"/>
      <c r="V10" s="471"/>
    </row>
    <row r="11" spans="1:22" ht="33">
      <c r="A11" s="26">
        <v>10</v>
      </c>
      <c r="B11" s="27" t="s">
        <v>19</v>
      </c>
      <c r="C11" s="28" t="s">
        <v>20</v>
      </c>
      <c r="D11" s="29" t="s">
        <v>8</v>
      </c>
      <c r="E11" s="30">
        <f t="shared" si="0"/>
        <v>162.76900000000001</v>
      </c>
      <c r="F11" s="31">
        <f>F1730n</f>
        <v>7.7309999999999999</v>
      </c>
      <c r="G11" s="31">
        <f>F1830n</f>
        <v>7.7309999999999999</v>
      </c>
      <c r="H11" s="31">
        <f>F1830n</f>
        <v>7.7309999999999999</v>
      </c>
      <c r="I11" s="31">
        <f>F2430n</f>
        <v>7.7309999999999999</v>
      </c>
      <c r="J11" s="31">
        <f>F2530n</f>
        <v>7.7309999999999999</v>
      </c>
      <c r="K11" s="31">
        <f>F2630n</f>
        <v>7.7309999999999999</v>
      </c>
      <c r="L11" s="32">
        <f t="shared" si="1"/>
        <v>61.847999999999999</v>
      </c>
      <c r="M11" s="32">
        <f t="shared" si="2"/>
        <v>15.462</v>
      </c>
      <c r="N11" s="31">
        <f>F3730n</f>
        <v>7.7309999999999999</v>
      </c>
      <c r="O11" s="31">
        <f>F3830n</f>
        <v>7.7309999999999999</v>
      </c>
      <c r="P11" s="31">
        <f>F3830n</f>
        <v>7.7309999999999999</v>
      </c>
      <c r="Q11" s="31">
        <f>F4030n</f>
        <v>8.1739999999999995</v>
      </c>
      <c r="R11" s="31">
        <f>F4130n</f>
        <v>7.7059999999999995</v>
      </c>
      <c r="S11" s="50">
        <v>1</v>
      </c>
      <c r="T11" s="47">
        <f t="shared" si="3"/>
        <v>162.76900000000001</v>
      </c>
      <c r="U11" s="47"/>
      <c r="V11" s="472"/>
    </row>
    <row r="12" spans="1:22" s="14" customFormat="1">
      <c r="A12" s="33"/>
      <c r="B12" s="34" t="s">
        <v>38</v>
      </c>
      <c r="C12" s="35"/>
      <c r="D12" s="36"/>
      <c r="E12" s="13">
        <f t="shared" si="0"/>
        <v>21</v>
      </c>
      <c r="F12" s="13">
        <v>1</v>
      </c>
      <c r="G12" s="13">
        <v>1</v>
      </c>
      <c r="H12" s="13">
        <v>1</v>
      </c>
      <c r="I12" s="13">
        <v>1</v>
      </c>
      <c r="J12" s="13">
        <v>1</v>
      </c>
      <c r="K12" s="13">
        <v>1</v>
      </c>
      <c r="L12" s="13">
        <v>8</v>
      </c>
      <c r="M12" s="13">
        <v>2</v>
      </c>
      <c r="N12" s="13">
        <v>1</v>
      </c>
      <c r="O12" s="13">
        <v>1</v>
      </c>
      <c r="P12" s="13">
        <v>1</v>
      </c>
      <c r="Q12" s="13">
        <v>1</v>
      </c>
      <c r="R12" s="13">
        <v>1</v>
      </c>
      <c r="S12" s="36"/>
      <c r="T12" s="36"/>
      <c r="U12" s="36"/>
      <c r="V12" s="36"/>
    </row>
    <row r="13" spans="1:22">
      <c r="A13" s="15">
        <v>2</v>
      </c>
      <c r="B13" s="16" t="s">
        <v>21</v>
      </c>
      <c r="C13" s="17" t="s">
        <v>22</v>
      </c>
      <c r="D13" s="18" t="s">
        <v>8</v>
      </c>
      <c r="E13" s="19">
        <f t="shared" si="0"/>
        <v>93223.759239999985</v>
      </c>
      <c r="F13" s="20">
        <f>F17TTtn</f>
        <v>5270.9009399999986</v>
      </c>
      <c r="G13" s="20">
        <f>F18TTtn</f>
        <v>5142.5925199999965</v>
      </c>
      <c r="H13" s="20">
        <f>F18TTtn</f>
        <v>5142.5925199999965</v>
      </c>
      <c r="I13" s="20">
        <f>F24TTtn</f>
        <v>4940.2143800000003</v>
      </c>
      <c r="J13" s="20">
        <f>F25TTtn</f>
        <v>4831.9439699999984</v>
      </c>
      <c r="K13" s="20">
        <f>F26TTtn</f>
        <v>4410.2926599999982</v>
      </c>
      <c r="L13" s="43">
        <f t="shared" ref="L13:L15" si="4">K13*L$12</f>
        <v>35282.341279999986</v>
      </c>
      <c r="M13" s="43">
        <f t="shared" ref="M13:M15" si="5">N13*M$12</f>
        <v>8329.5888800000012</v>
      </c>
      <c r="N13" s="20">
        <f>F37TTtn</f>
        <v>4164.7944400000006</v>
      </c>
      <c r="O13" s="20">
        <f>F38TTtn</f>
        <v>4197.7944200000011</v>
      </c>
      <c r="P13" s="20">
        <f>F38TTtn</f>
        <v>4197.7944200000011</v>
      </c>
      <c r="Q13" s="20">
        <f>F40TTtn</f>
        <v>4859.7809000000016</v>
      </c>
      <c r="R13" s="20">
        <f>F41TTtn</f>
        <v>2453.1279100000093</v>
      </c>
      <c r="S13" s="48">
        <v>0.9</v>
      </c>
      <c r="T13" s="47">
        <f t="shared" si="3"/>
        <v>83901.383315999992</v>
      </c>
      <c r="U13" s="47"/>
      <c r="V13" s="470" t="s">
        <v>37</v>
      </c>
    </row>
    <row r="14" spans="1:22">
      <c r="A14" s="15">
        <v>4</v>
      </c>
      <c r="B14" s="16" t="s">
        <v>23</v>
      </c>
      <c r="C14" s="17" t="s">
        <v>24</v>
      </c>
      <c r="D14" s="18" t="s">
        <v>8</v>
      </c>
      <c r="E14" s="19">
        <f t="shared" si="0"/>
        <v>12904.568500000001</v>
      </c>
      <c r="F14" s="20">
        <f>'[1]TRAT BT'!$K$17+'[1]TRAT BT'!$K$125</f>
        <v>780.87999999999988</v>
      </c>
      <c r="G14" s="20">
        <f>'[1]TRAT BT'!$K$17+'[1]TRAT BT'!$K$150</f>
        <v>767.90775000000008</v>
      </c>
      <c r="H14" s="20">
        <f>'[1]TRAT BT'!$K$17+'[1]TRAT BT'!$K$150</f>
        <v>767.90775000000008</v>
      </c>
      <c r="I14" s="20">
        <f>'[1]TRAT BT'!K17+'[1]TRAT BT'!K175</f>
        <v>750.86275000000001</v>
      </c>
      <c r="J14" s="20">
        <f>'[1]TRAT BT'!K39+'[1]TRAT BT'!K201</f>
        <v>732.96524999999997</v>
      </c>
      <c r="K14" s="20">
        <f>'[1]TRAT BT'!K63+'[1]TRAT BT'!K227</f>
        <v>659.03</v>
      </c>
      <c r="L14" s="43">
        <f t="shared" si="4"/>
        <v>5272.24</v>
      </c>
      <c r="M14" s="43">
        <f t="shared" si="5"/>
        <v>1269.1100000000001</v>
      </c>
      <c r="N14" s="20">
        <f>'[1]TRAT BT'!K103+'[1]TRAT BT'!K250</f>
        <v>634.55500000000006</v>
      </c>
      <c r="O14" s="20">
        <f t="shared" ref="O14:P14" si="6">$N14</f>
        <v>634.55500000000006</v>
      </c>
      <c r="P14" s="20">
        <f t="shared" si="6"/>
        <v>634.55500000000006</v>
      </c>
      <c r="Q14" s="20"/>
      <c r="R14" s="20"/>
      <c r="S14" s="48">
        <v>0.8</v>
      </c>
      <c r="T14" s="47">
        <f t="shared" si="3"/>
        <v>10323.654800000002</v>
      </c>
      <c r="U14" s="47"/>
      <c r="V14" s="473"/>
    </row>
    <row r="15" spans="1:22">
      <c r="A15" s="15">
        <v>5</v>
      </c>
      <c r="B15" s="16" t="s">
        <v>25</v>
      </c>
      <c r="C15" s="17" t="s">
        <v>26</v>
      </c>
      <c r="D15" s="18" t="s">
        <v>8</v>
      </c>
      <c r="E15" s="19">
        <f t="shared" si="0"/>
        <v>12759.039999999999</v>
      </c>
      <c r="F15" s="20">
        <f>'[1]TRAT BT'!$L$11</f>
        <v>250.88</v>
      </c>
      <c r="G15" s="20">
        <f>'[1]TRAT BT'!$L$13</f>
        <v>232.95999999999998</v>
      </c>
      <c r="H15" s="20">
        <f>'[1]TRAT BT'!$L$13</f>
        <v>232.95999999999998</v>
      </c>
      <c r="I15" s="20">
        <f>'[1]TRAT BT'!L12</f>
        <v>752.64</v>
      </c>
      <c r="J15" s="20">
        <f>$I15</f>
        <v>752.64</v>
      </c>
      <c r="K15" s="20">
        <f>$I15</f>
        <v>752.64</v>
      </c>
      <c r="L15" s="43">
        <f t="shared" si="4"/>
        <v>6021.12</v>
      </c>
      <c r="M15" s="43">
        <f t="shared" si="5"/>
        <v>1505.28</v>
      </c>
      <c r="N15" s="20">
        <f>$I15</f>
        <v>752.64</v>
      </c>
      <c r="O15" s="20">
        <f>$I15</f>
        <v>752.64</v>
      </c>
      <c r="P15" s="20">
        <f>$I15</f>
        <v>752.64</v>
      </c>
      <c r="Q15" s="20"/>
      <c r="R15" s="20"/>
      <c r="S15" s="48">
        <v>0.05</v>
      </c>
      <c r="T15" s="47">
        <f t="shared" si="3"/>
        <v>637.952</v>
      </c>
      <c r="U15" s="47"/>
      <c r="V15" s="474"/>
    </row>
    <row r="16" spans="1:22">
      <c r="A16" s="52"/>
      <c r="B16" s="53"/>
      <c r="C16" s="54"/>
      <c r="D16" s="46"/>
      <c r="E16" s="19"/>
      <c r="F16" s="22"/>
      <c r="G16" s="22"/>
      <c r="H16" s="22"/>
      <c r="I16" s="22"/>
      <c r="J16" s="22"/>
      <c r="K16" s="22"/>
      <c r="L16" s="43"/>
      <c r="M16" s="43"/>
      <c r="N16" s="22"/>
      <c r="O16" s="22"/>
      <c r="P16" s="22"/>
      <c r="Q16" s="22"/>
      <c r="R16" s="22"/>
      <c r="S16" s="48"/>
      <c r="T16" s="47"/>
      <c r="U16" s="47"/>
      <c r="V16" s="47"/>
    </row>
    <row r="17" spans="1:22">
      <c r="A17" s="52"/>
      <c r="B17" s="53"/>
      <c r="C17" s="54"/>
      <c r="D17" s="46"/>
      <c r="E17" s="19"/>
      <c r="F17" s="22"/>
      <c r="G17" s="22"/>
      <c r="H17" s="22"/>
      <c r="I17" s="22"/>
      <c r="J17" s="22"/>
      <c r="K17" s="22"/>
      <c r="L17" s="43"/>
      <c r="M17" s="43"/>
      <c r="N17" s="22"/>
      <c r="O17" s="22"/>
      <c r="P17" s="22"/>
      <c r="Q17" s="22"/>
      <c r="R17" s="22"/>
      <c r="S17" s="48"/>
      <c r="T17" s="47"/>
      <c r="U17" s="47"/>
      <c r="V17" s="47"/>
    </row>
    <row r="18" spans="1:22">
      <c r="A18" s="52"/>
      <c r="B18" s="53"/>
      <c r="C18" s="54"/>
      <c r="D18" s="46"/>
      <c r="E18" s="19"/>
      <c r="F18" s="22"/>
      <c r="G18" s="22"/>
      <c r="H18" s="22"/>
      <c r="I18" s="22"/>
      <c r="J18" s="22"/>
      <c r="K18" s="22"/>
      <c r="L18" s="43"/>
      <c r="M18" s="43"/>
      <c r="N18" s="22"/>
      <c r="O18" s="22"/>
      <c r="P18" s="22"/>
      <c r="Q18" s="22"/>
      <c r="R18" s="22"/>
      <c r="S18" s="48"/>
      <c r="T18" s="47"/>
      <c r="U18" s="47"/>
      <c r="V18" s="47"/>
    </row>
    <row r="19" spans="1:22">
      <c r="A19" s="26"/>
      <c r="B19" s="27"/>
      <c r="C19" s="28"/>
      <c r="D19" s="29"/>
      <c r="E19" s="30"/>
      <c r="F19" s="31"/>
      <c r="G19" s="31"/>
      <c r="H19" s="31"/>
      <c r="I19" s="31"/>
      <c r="J19" s="31"/>
      <c r="K19" s="31"/>
      <c r="L19" s="32"/>
      <c r="M19" s="32"/>
      <c r="N19" s="31"/>
      <c r="O19" s="31"/>
      <c r="P19" s="31"/>
      <c r="Q19" s="31"/>
      <c r="R19" s="31"/>
      <c r="S19" s="29"/>
      <c r="T19" s="29"/>
      <c r="U19" s="29"/>
      <c r="V19" s="29"/>
    </row>
  </sheetData>
  <mergeCells count="11">
    <mergeCell ref="A3:A4"/>
    <mergeCell ref="B3:B4"/>
    <mergeCell ref="C3:C4"/>
    <mergeCell ref="D3:D4"/>
    <mergeCell ref="U3:U4"/>
    <mergeCell ref="V3:V4"/>
    <mergeCell ref="V6:V11"/>
    <mergeCell ref="V13:V15"/>
    <mergeCell ref="E3:E4"/>
    <mergeCell ref="T3:T4"/>
    <mergeCell ref="S3:S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L436"/>
  <sheetViews>
    <sheetView topLeftCell="A89" workbookViewId="0">
      <selection activeCell="I107" sqref="I107"/>
    </sheetView>
  </sheetViews>
  <sheetFormatPr defaultRowHeight="12.75" outlineLevelRow="1"/>
  <cols>
    <col min="1" max="1" width="4.85546875" style="64" bestFit="1" customWidth="1"/>
    <col min="2" max="2" width="23.7109375" style="65" customWidth="1"/>
    <col min="3" max="3" width="4.28515625" style="65" bestFit="1" customWidth="1"/>
    <col min="4" max="4" width="5.42578125" style="66" bestFit="1" customWidth="1"/>
    <col min="5" max="5" width="6.85546875" style="67" customWidth="1"/>
    <col min="6" max="6" width="6.42578125" style="68" customWidth="1"/>
    <col min="7" max="7" width="6.7109375" style="68" customWidth="1"/>
    <col min="8" max="8" width="9" style="66" customWidth="1"/>
    <col min="9" max="9" width="9.140625" style="66" customWidth="1"/>
    <col min="10" max="10" width="12.7109375" style="69" customWidth="1"/>
    <col min="11" max="11" width="11.28515625" style="65" bestFit="1" customWidth="1"/>
    <col min="12" max="241" width="9.140625" style="65"/>
    <col min="242" max="242" width="4.85546875" style="65" bestFit="1" customWidth="1"/>
    <col min="243" max="243" width="23.7109375" style="65" customWidth="1"/>
    <col min="244" max="244" width="4.28515625" style="65" bestFit="1" customWidth="1"/>
    <col min="245" max="245" width="5.42578125" style="65" bestFit="1" customWidth="1"/>
    <col min="246" max="246" width="6.85546875" style="65" customWidth="1"/>
    <col min="247" max="247" width="6.42578125" style="65" customWidth="1"/>
    <col min="248" max="248" width="6.7109375" style="65" customWidth="1"/>
    <col min="249" max="249" width="9" style="65" customWidth="1"/>
    <col min="250" max="250" width="9.140625" style="65" customWidth="1"/>
    <col min="251" max="251" width="22.85546875" style="65" customWidth="1"/>
    <col min="252" max="252" width="4.85546875" style="65" customWidth="1"/>
    <col min="253" max="253" width="22.5703125" style="65" customWidth="1"/>
    <col min="254" max="254" width="7" style="65" customWidth="1"/>
    <col min="255" max="255" width="4.85546875" style="65" customWidth="1"/>
    <col min="256" max="256" width="5.140625" style="65" bestFit="1" customWidth="1"/>
    <col min="257" max="257" width="8.42578125" style="65" customWidth="1"/>
    <col min="258" max="258" width="9.5703125" style="65" customWidth="1"/>
    <col min="259" max="497" width="9.140625" style="65"/>
    <col min="498" max="498" width="4.85546875" style="65" bestFit="1" customWidth="1"/>
    <col min="499" max="499" width="23.7109375" style="65" customWidth="1"/>
    <col min="500" max="500" width="4.28515625" style="65" bestFit="1" customWidth="1"/>
    <col min="501" max="501" width="5.42578125" style="65" bestFit="1" customWidth="1"/>
    <col min="502" max="502" width="6.85546875" style="65" customWidth="1"/>
    <col min="503" max="503" width="6.42578125" style="65" customWidth="1"/>
    <col min="504" max="504" width="6.7109375" style="65" customWidth="1"/>
    <col min="505" max="505" width="9" style="65" customWidth="1"/>
    <col min="506" max="506" width="9.140625" style="65" customWidth="1"/>
    <col min="507" max="507" width="22.85546875" style="65" customWidth="1"/>
    <col min="508" max="508" width="4.85546875" style="65" customWidth="1"/>
    <col min="509" max="509" width="22.5703125" style="65" customWidth="1"/>
    <col min="510" max="510" width="7" style="65" customWidth="1"/>
    <col min="511" max="511" width="4.85546875" style="65" customWidth="1"/>
    <col min="512" max="512" width="5.140625" style="65" bestFit="1" customWidth="1"/>
    <col min="513" max="513" width="8.42578125" style="65" customWidth="1"/>
    <col min="514" max="514" width="9.5703125" style="65" customWidth="1"/>
    <col min="515" max="753" width="9.140625" style="65"/>
    <col min="754" max="754" width="4.85546875" style="65" bestFit="1" customWidth="1"/>
    <col min="755" max="755" width="23.7109375" style="65" customWidth="1"/>
    <col min="756" max="756" width="4.28515625" style="65" bestFit="1" customWidth="1"/>
    <col min="757" max="757" width="5.42578125" style="65" bestFit="1" customWidth="1"/>
    <col min="758" max="758" width="6.85546875" style="65" customWidth="1"/>
    <col min="759" max="759" width="6.42578125" style="65" customWidth="1"/>
    <col min="760" max="760" width="6.7109375" style="65" customWidth="1"/>
    <col min="761" max="761" width="9" style="65" customWidth="1"/>
    <col min="762" max="762" width="9.140625" style="65" customWidth="1"/>
    <col min="763" max="763" width="22.85546875" style="65" customWidth="1"/>
    <col min="764" max="764" width="4.85546875" style="65" customWidth="1"/>
    <col min="765" max="765" width="22.5703125" style="65" customWidth="1"/>
    <col min="766" max="766" width="7" style="65" customWidth="1"/>
    <col min="767" max="767" width="4.85546875" style="65" customWidth="1"/>
    <col min="768" max="768" width="5.140625" style="65" bestFit="1" customWidth="1"/>
    <col min="769" max="769" width="8.42578125" style="65" customWidth="1"/>
    <col min="770" max="770" width="9.5703125" style="65" customWidth="1"/>
    <col min="771" max="1009" width="9.140625" style="65"/>
    <col min="1010" max="1010" width="4.85546875" style="65" bestFit="1" customWidth="1"/>
    <col min="1011" max="1011" width="23.7109375" style="65" customWidth="1"/>
    <col min="1012" max="1012" width="4.28515625" style="65" bestFit="1" customWidth="1"/>
    <col min="1013" max="1013" width="5.42578125" style="65" bestFit="1" customWidth="1"/>
    <col min="1014" max="1014" width="6.85546875" style="65" customWidth="1"/>
    <col min="1015" max="1015" width="6.42578125" style="65" customWidth="1"/>
    <col min="1016" max="1016" width="6.7109375" style="65" customWidth="1"/>
    <col min="1017" max="1017" width="9" style="65" customWidth="1"/>
    <col min="1018" max="1018" width="9.140625" style="65" customWidth="1"/>
    <col min="1019" max="1019" width="22.85546875" style="65" customWidth="1"/>
    <col min="1020" max="1020" width="4.85546875" style="65" customWidth="1"/>
    <col min="1021" max="1021" width="22.5703125" style="65" customWidth="1"/>
    <col min="1022" max="1022" width="7" style="65" customWidth="1"/>
    <col min="1023" max="1023" width="4.85546875" style="65" customWidth="1"/>
    <col min="1024" max="1024" width="5.140625" style="65" bestFit="1" customWidth="1"/>
    <col min="1025" max="1025" width="8.42578125" style="65" customWidth="1"/>
    <col min="1026" max="1026" width="9.5703125" style="65" customWidth="1"/>
    <col min="1027" max="1265" width="9.140625" style="65"/>
    <col min="1266" max="1266" width="4.85546875" style="65" bestFit="1" customWidth="1"/>
    <col min="1267" max="1267" width="23.7109375" style="65" customWidth="1"/>
    <col min="1268" max="1268" width="4.28515625" style="65" bestFit="1" customWidth="1"/>
    <col min="1269" max="1269" width="5.42578125" style="65" bestFit="1" customWidth="1"/>
    <col min="1270" max="1270" width="6.85546875" style="65" customWidth="1"/>
    <col min="1271" max="1271" width="6.42578125" style="65" customWidth="1"/>
    <col min="1272" max="1272" width="6.7109375" style="65" customWidth="1"/>
    <col min="1273" max="1273" width="9" style="65" customWidth="1"/>
    <col min="1274" max="1274" width="9.140625" style="65" customWidth="1"/>
    <col min="1275" max="1275" width="22.85546875" style="65" customWidth="1"/>
    <col min="1276" max="1276" width="4.85546875" style="65" customWidth="1"/>
    <col min="1277" max="1277" width="22.5703125" style="65" customWidth="1"/>
    <col min="1278" max="1278" width="7" style="65" customWidth="1"/>
    <col min="1279" max="1279" width="4.85546875" style="65" customWidth="1"/>
    <col min="1280" max="1280" width="5.140625" style="65" bestFit="1" customWidth="1"/>
    <col min="1281" max="1281" width="8.42578125" style="65" customWidth="1"/>
    <col min="1282" max="1282" width="9.5703125" style="65" customWidth="1"/>
    <col min="1283" max="1521" width="9.140625" style="65"/>
    <col min="1522" max="1522" width="4.85546875" style="65" bestFit="1" customWidth="1"/>
    <col min="1523" max="1523" width="23.7109375" style="65" customWidth="1"/>
    <col min="1524" max="1524" width="4.28515625" style="65" bestFit="1" customWidth="1"/>
    <col min="1525" max="1525" width="5.42578125" style="65" bestFit="1" customWidth="1"/>
    <col min="1526" max="1526" width="6.85546875" style="65" customWidth="1"/>
    <col min="1527" max="1527" width="6.42578125" style="65" customWidth="1"/>
    <col min="1528" max="1528" width="6.7109375" style="65" customWidth="1"/>
    <col min="1529" max="1529" width="9" style="65" customWidth="1"/>
    <col min="1530" max="1530" width="9.140625" style="65" customWidth="1"/>
    <col min="1531" max="1531" width="22.85546875" style="65" customWidth="1"/>
    <col min="1532" max="1532" width="4.85546875" style="65" customWidth="1"/>
    <col min="1533" max="1533" width="22.5703125" style="65" customWidth="1"/>
    <col min="1534" max="1534" width="7" style="65" customWidth="1"/>
    <col min="1535" max="1535" width="4.85546875" style="65" customWidth="1"/>
    <col min="1536" max="1536" width="5.140625" style="65" bestFit="1" customWidth="1"/>
    <col min="1537" max="1537" width="8.42578125" style="65" customWidth="1"/>
    <col min="1538" max="1538" width="9.5703125" style="65" customWidth="1"/>
    <col min="1539" max="1777" width="9.140625" style="65"/>
    <col min="1778" max="1778" width="4.85546875" style="65" bestFit="1" customWidth="1"/>
    <col min="1779" max="1779" width="23.7109375" style="65" customWidth="1"/>
    <col min="1780" max="1780" width="4.28515625" style="65" bestFit="1" customWidth="1"/>
    <col min="1781" max="1781" width="5.42578125" style="65" bestFit="1" customWidth="1"/>
    <col min="1782" max="1782" width="6.85546875" style="65" customWidth="1"/>
    <col min="1783" max="1783" width="6.42578125" style="65" customWidth="1"/>
    <col min="1784" max="1784" width="6.7109375" style="65" customWidth="1"/>
    <col min="1785" max="1785" width="9" style="65" customWidth="1"/>
    <col min="1786" max="1786" width="9.140625" style="65" customWidth="1"/>
    <col min="1787" max="1787" width="22.85546875" style="65" customWidth="1"/>
    <col min="1788" max="1788" width="4.85546875" style="65" customWidth="1"/>
    <col min="1789" max="1789" width="22.5703125" style="65" customWidth="1"/>
    <col min="1790" max="1790" width="7" style="65" customWidth="1"/>
    <col min="1791" max="1791" width="4.85546875" style="65" customWidth="1"/>
    <col min="1792" max="1792" width="5.140625" style="65" bestFit="1" customWidth="1"/>
    <col min="1793" max="1793" width="8.42578125" style="65" customWidth="1"/>
    <col min="1794" max="1794" width="9.5703125" style="65" customWidth="1"/>
    <col min="1795" max="2033" width="9.140625" style="65"/>
    <col min="2034" max="2034" width="4.85546875" style="65" bestFit="1" customWidth="1"/>
    <col min="2035" max="2035" width="23.7109375" style="65" customWidth="1"/>
    <col min="2036" max="2036" width="4.28515625" style="65" bestFit="1" customWidth="1"/>
    <col min="2037" max="2037" width="5.42578125" style="65" bestFit="1" customWidth="1"/>
    <col min="2038" max="2038" width="6.85546875" style="65" customWidth="1"/>
    <col min="2039" max="2039" width="6.42578125" style="65" customWidth="1"/>
    <col min="2040" max="2040" width="6.7109375" style="65" customWidth="1"/>
    <col min="2041" max="2041" width="9" style="65" customWidth="1"/>
    <col min="2042" max="2042" width="9.140625" style="65" customWidth="1"/>
    <col min="2043" max="2043" width="22.85546875" style="65" customWidth="1"/>
    <col min="2044" max="2044" width="4.85546875" style="65" customWidth="1"/>
    <col min="2045" max="2045" width="22.5703125" style="65" customWidth="1"/>
    <col min="2046" max="2046" width="7" style="65" customWidth="1"/>
    <col min="2047" max="2047" width="4.85546875" style="65" customWidth="1"/>
    <col min="2048" max="2048" width="5.140625" style="65" bestFit="1" customWidth="1"/>
    <col min="2049" max="2049" width="8.42578125" style="65" customWidth="1"/>
    <col min="2050" max="2050" width="9.5703125" style="65" customWidth="1"/>
    <col min="2051" max="2289" width="9.140625" style="65"/>
    <col min="2290" max="2290" width="4.85546875" style="65" bestFit="1" customWidth="1"/>
    <col min="2291" max="2291" width="23.7109375" style="65" customWidth="1"/>
    <col min="2292" max="2292" width="4.28515625" style="65" bestFit="1" customWidth="1"/>
    <col min="2293" max="2293" width="5.42578125" style="65" bestFit="1" customWidth="1"/>
    <col min="2294" max="2294" width="6.85546875" style="65" customWidth="1"/>
    <col min="2295" max="2295" width="6.42578125" style="65" customWidth="1"/>
    <col min="2296" max="2296" width="6.7109375" style="65" customWidth="1"/>
    <col min="2297" max="2297" width="9" style="65" customWidth="1"/>
    <col min="2298" max="2298" width="9.140625" style="65" customWidth="1"/>
    <col min="2299" max="2299" width="22.85546875" style="65" customWidth="1"/>
    <col min="2300" max="2300" width="4.85546875" style="65" customWidth="1"/>
    <col min="2301" max="2301" width="22.5703125" style="65" customWidth="1"/>
    <col min="2302" max="2302" width="7" style="65" customWidth="1"/>
    <col min="2303" max="2303" width="4.85546875" style="65" customWidth="1"/>
    <col min="2304" max="2304" width="5.140625" style="65" bestFit="1" customWidth="1"/>
    <col min="2305" max="2305" width="8.42578125" style="65" customWidth="1"/>
    <col min="2306" max="2306" width="9.5703125" style="65" customWidth="1"/>
    <col min="2307" max="2545" width="9.140625" style="65"/>
    <col min="2546" max="2546" width="4.85546875" style="65" bestFit="1" customWidth="1"/>
    <col min="2547" max="2547" width="23.7109375" style="65" customWidth="1"/>
    <col min="2548" max="2548" width="4.28515625" style="65" bestFit="1" customWidth="1"/>
    <col min="2549" max="2549" width="5.42578125" style="65" bestFit="1" customWidth="1"/>
    <col min="2550" max="2550" width="6.85546875" style="65" customWidth="1"/>
    <col min="2551" max="2551" width="6.42578125" style="65" customWidth="1"/>
    <col min="2552" max="2552" width="6.7109375" style="65" customWidth="1"/>
    <col min="2553" max="2553" width="9" style="65" customWidth="1"/>
    <col min="2554" max="2554" width="9.140625" style="65" customWidth="1"/>
    <col min="2555" max="2555" width="22.85546875" style="65" customWidth="1"/>
    <col min="2556" max="2556" width="4.85546875" style="65" customWidth="1"/>
    <col min="2557" max="2557" width="22.5703125" style="65" customWidth="1"/>
    <col min="2558" max="2558" width="7" style="65" customWidth="1"/>
    <col min="2559" max="2559" width="4.85546875" style="65" customWidth="1"/>
    <col min="2560" max="2560" width="5.140625" style="65" bestFit="1" customWidth="1"/>
    <col min="2561" max="2561" width="8.42578125" style="65" customWidth="1"/>
    <col min="2562" max="2562" width="9.5703125" style="65" customWidth="1"/>
    <col min="2563" max="2801" width="9.140625" style="65"/>
    <col min="2802" max="2802" width="4.85546875" style="65" bestFit="1" customWidth="1"/>
    <col min="2803" max="2803" width="23.7109375" style="65" customWidth="1"/>
    <col min="2804" max="2804" width="4.28515625" style="65" bestFit="1" customWidth="1"/>
    <col min="2805" max="2805" width="5.42578125" style="65" bestFit="1" customWidth="1"/>
    <col min="2806" max="2806" width="6.85546875" style="65" customWidth="1"/>
    <col min="2807" max="2807" width="6.42578125" style="65" customWidth="1"/>
    <col min="2808" max="2808" width="6.7109375" style="65" customWidth="1"/>
    <col min="2809" max="2809" width="9" style="65" customWidth="1"/>
    <col min="2810" max="2810" width="9.140625" style="65" customWidth="1"/>
    <col min="2811" max="2811" width="22.85546875" style="65" customWidth="1"/>
    <col min="2812" max="2812" width="4.85546875" style="65" customWidth="1"/>
    <col min="2813" max="2813" width="22.5703125" style="65" customWidth="1"/>
    <col min="2814" max="2814" width="7" style="65" customWidth="1"/>
    <col min="2815" max="2815" width="4.85546875" style="65" customWidth="1"/>
    <col min="2816" max="2816" width="5.140625" style="65" bestFit="1" customWidth="1"/>
    <col min="2817" max="2817" width="8.42578125" style="65" customWidth="1"/>
    <col min="2818" max="2818" width="9.5703125" style="65" customWidth="1"/>
    <col min="2819" max="3057" width="9.140625" style="65"/>
    <col min="3058" max="3058" width="4.85546875" style="65" bestFit="1" customWidth="1"/>
    <col min="3059" max="3059" width="23.7109375" style="65" customWidth="1"/>
    <col min="3060" max="3060" width="4.28515625" style="65" bestFit="1" customWidth="1"/>
    <col min="3061" max="3061" width="5.42578125" style="65" bestFit="1" customWidth="1"/>
    <col min="3062" max="3062" width="6.85546875" style="65" customWidth="1"/>
    <col min="3063" max="3063" width="6.42578125" style="65" customWidth="1"/>
    <col min="3064" max="3064" width="6.7109375" style="65" customWidth="1"/>
    <col min="3065" max="3065" width="9" style="65" customWidth="1"/>
    <col min="3066" max="3066" width="9.140625" style="65" customWidth="1"/>
    <col min="3067" max="3067" width="22.85546875" style="65" customWidth="1"/>
    <col min="3068" max="3068" width="4.85546875" style="65" customWidth="1"/>
    <col min="3069" max="3069" width="22.5703125" style="65" customWidth="1"/>
    <col min="3070" max="3070" width="7" style="65" customWidth="1"/>
    <col min="3071" max="3071" width="4.85546875" style="65" customWidth="1"/>
    <col min="3072" max="3072" width="5.140625" style="65" bestFit="1" customWidth="1"/>
    <col min="3073" max="3073" width="8.42578125" style="65" customWidth="1"/>
    <col min="3074" max="3074" width="9.5703125" style="65" customWidth="1"/>
    <col min="3075" max="3313" width="9.140625" style="65"/>
    <col min="3314" max="3314" width="4.85546875" style="65" bestFit="1" customWidth="1"/>
    <col min="3315" max="3315" width="23.7109375" style="65" customWidth="1"/>
    <col min="3316" max="3316" width="4.28515625" style="65" bestFit="1" customWidth="1"/>
    <col min="3317" max="3317" width="5.42578125" style="65" bestFit="1" customWidth="1"/>
    <col min="3318" max="3318" width="6.85546875" style="65" customWidth="1"/>
    <col min="3319" max="3319" width="6.42578125" style="65" customWidth="1"/>
    <col min="3320" max="3320" width="6.7109375" style="65" customWidth="1"/>
    <col min="3321" max="3321" width="9" style="65" customWidth="1"/>
    <col min="3322" max="3322" width="9.140625" style="65" customWidth="1"/>
    <col min="3323" max="3323" width="22.85546875" style="65" customWidth="1"/>
    <col min="3324" max="3324" width="4.85546875" style="65" customWidth="1"/>
    <col min="3325" max="3325" width="22.5703125" style="65" customWidth="1"/>
    <col min="3326" max="3326" width="7" style="65" customWidth="1"/>
    <col min="3327" max="3327" width="4.85546875" style="65" customWidth="1"/>
    <col min="3328" max="3328" width="5.140625" style="65" bestFit="1" customWidth="1"/>
    <col min="3329" max="3329" width="8.42578125" style="65" customWidth="1"/>
    <col min="3330" max="3330" width="9.5703125" style="65" customWidth="1"/>
    <col min="3331" max="3569" width="9.140625" style="65"/>
    <col min="3570" max="3570" width="4.85546875" style="65" bestFit="1" customWidth="1"/>
    <col min="3571" max="3571" width="23.7109375" style="65" customWidth="1"/>
    <col min="3572" max="3572" width="4.28515625" style="65" bestFit="1" customWidth="1"/>
    <col min="3573" max="3573" width="5.42578125" style="65" bestFit="1" customWidth="1"/>
    <col min="3574" max="3574" width="6.85546875" style="65" customWidth="1"/>
    <col min="3575" max="3575" width="6.42578125" style="65" customWidth="1"/>
    <col min="3576" max="3576" width="6.7109375" style="65" customWidth="1"/>
    <col min="3577" max="3577" width="9" style="65" customWidth="1"/>
    <col min="3578" max="3578" width="9.140625" style="65" customWidth="1"/>
    <col min="3579" max="3579" width="22.85546875" style="65" customWidth="1"/>
    <col min="3580" max="3580" width="4.85546875" style="65" customWidth="1"/>
    <col min="3581" max="3581" width="22.5703125" style="65" customWidth="1"/>
    <col min="3582" max="3582" width="7" style="65" customWidth="1"/>
    <col min="3583" max="3583" width="4.85546875" style="65" customWidth="1"/>
    <col min="3584" max="3584" width="5.140625" style="65" bestFit="1" customWidth="1"/>
    <col min="3585" max="3585" width="8.42578125" style="65" customWidth="1"/>
    <col min="3586" max="3586" width="9.5703125" style="65" customWidth="1"/>
    <col min="3587" max="3825" width="9.140625" style="65"/>
    <col min="3826" max="3826" width="4.85546875" style="65" bestFit="1" customWidth="1"/>
    <col min="3827" max="3827" width="23.7109375" style="65" customWidth="1"/>
    <col min="3828" max="3828" width="4.28515625" style="65" bestFit="1" customWidth="1"/>
    <col min="3829" max="3829" width="5.42578125" style="65" bestFit="1" customWidth="1"/>
    <col min="3830" max="3830" width="6.85546875" style="65" customWidth="1"/>
    <col min="3831" max="3831" width="6.42578125" style="65" customWidth="1"/>
    <col min="3832" max="3832" width="6.7109375" style="65" customWidth="1"/>
    <col min="3833" max="3833" width="9" style="65" customWidth="1"/>
    <col min="3834" max="3834" width="9.140625" style="65" customWidth="1"/>
    <col min="3835" max="3835" width="22.85546875" style="65" customWidth="1"/>
    <col min="3836" max="3836" width="4.85546875" style="65" customWidth="1"/>
    <col min="3837" max="3837" width="22.5703125" style="65" customWidth="1"/>
    <col min="3838" max="3838" width="7" style="65" customWidth="1"/>
    <col min="3839" max="3839" width="4.85546875" style="65" customWidth="1"/>
    <col min="3840" max="3840" width="5.140625" style="65" bestFit="1" customWidth="1"/>
    <col min="3841" max="3841" width="8.42578125" style="65" customWidth="1"/>
    <col min="3842" max="3842" width="9.5703125" style="65" customWidth="1"/>
    <col min="3843" max="4081" width="9.140625" style="65"/>
    <col min="4082" max="4082" width="4.85546875" style="65" bestFit="1" customWidth="1"/>
    <col min="4083" max="4083" width="23.7109375" style="65" customWidth="1"/>
    <col min="4084" max="4084" width="4.28515625" style="65" bestFit="1" customWidth="1"/>
    <col min="4085" max="4085" width="5.42578125" style="65" bestFit="1" customWidth="1"/>
    <col min="4086" max="4086" width="6.85546875" style="65" customWidth="1"/>
    <col min="4087" max="4087" width="6.42578125" style="65" customWidth="1"/>
    <col min="4088" max="4088" width="6.7109375" style="65" customWidth="1"/>
    <col min="4089" max="4089" width="9" style="65" customWidth="1"/>
    <col min="4090" max="4090" width="9.140625" style="65" customWidth="1"/>
    <col min="4091" max="4091" width="22.85546875" style="65" customWidth="1"/>
    <col min="4092" max="4092" width="4.85546875" style="65" customWidth="1"/>
    <col min="4093" max="4093" width="22.5703125" style="65" customWidth="1"/>
    <col min="4094" max="4094" width="7" style="65" customWidth="1"/>
    <col min="4095" max="4095" width="4.85546875" style="65" customWidth="1"/>
    <col min="4096" max="4096" width="5.140625" style="65" bestFit="1" customWidth="1"/>
    <col min="4097" max="4097" width="8.42578125" style="65" customWidth="1"/>
    <col min="4098" max="4098" width="9.5703125" style="65" customWidth="1"/>
    <col min="4099" max="4337" width="9.140625" style="65"/>
    <col min="4338" max="4338" width="4.85546875" style="65" bestFit="1" customWidth="1"/>
    <col min="4339" max="4339" width="23.7109375" style="65" customWidth="1"/>
    <col min="4340" max="4340" width="4.28515625" style="65" bestFit="1" customWidth="1"/>
    <col min="4341" max="4341" width="5.42578125" style="65" bestFit="1" customWidth="1"/>
    <col min="4342" max="4342" width="6.85546875" style="65" customWidth="1"/>
    <col min="4343" max="4343" width="6.42578125" style="65" customWidth="1"/>
    <col min="4344" max="4344" width="6.7109375" style="65" customWidth="1"/>
    <col min="4345" max="4345" width="9" style="65" customWidth="1"/>
    <col min="4346" max="4346" width="9.140625" style="65" customWidth="1"/>
    <col min="4347" max="4347" width="22.85546875" style="65" customWidth="1"/>
    <col min="4348" max="4348" width="4.85546875" style="65" customWidth="1"/>
    <col min="4349" max="4349" width="22.5703125" style="65" customWidth="1"/>
    <col min="4350" max="4350" width="7" style="65" customWidth="1"/>
    <col min="4351" max="4351" width="4.85546875" style="65" customWidth="1"/>
    <col min="4352" max="4352" width="5.140625" style="65" bestFit="1" customWidth="1"/>
    <col min="4353" max="4353" width="8.42578125" style="65" customWidth="1"/>
    <col min="4354" max="4354" width="9.5703125" style="65" customWidth="1"/>
    <col min="4355" max="4593" width="9.140625" style="65"/>
    <col min="4594" max="4594" width="4.85546875" style="65" bestFit="1" customWidth="1"/>
    <col min="4595" max="4595" width="23.7109375" style="65" customWidth="1"/>
    <col min="4596" max="4596" width="4.28515625" style="65" bestFit="1" customWidth="1"/>
    <col min="4597" max="4597" width="5.42578125" style="65" bestFit="1" customWidth="1"/>
    <col min="4598" max="4598" width="6.85546875" style="65" customWidth="1"/>
    <col min="4599" max="4599" width="6.42578125" style="65" customWidth="1"/>
    <col min="4600" max="4600" width="6.7109375" style="65" customWidth="1"/>
    <col min="4601" max="4601" width="9" style="65" customWidth="1"/>
    <col min="4602" max="4602" width="9.140625" style="65" customWidth="1"/>
    <col min="4603" max="4603" width="22.85546875" style="65" customWidth="1"/>
    <col min="4604" max="4604" width="4.85546875" style="65" customWidth="1"/>
    <col min="4605" max="4605" width="22.5703125" style="65" customWidth="1"/>
    <col min="4606" max="4606" width="7" style="65" customWidth="1"/>
    <col min="4607" max="4607" width="4.85546875" style="65" customWidth="1"/>
    <col min="4608" max="4608" width="5.140625" style="65" bestFit="1" customWidth="1"/>
    <col min="4609" max="4609" width="8.42578125" style="65" customWidth="1"/>
    <col min="4610" max="4610" width="9.5703125" style="65" customWidth="1"/>
    <col min="4611" max="4849" width="9.140625" style="65"/>
    <col min="4850" max="4850" width="4.85546875" style="65" bestFit="1" customWidth="1"/>
    <col min="4851" max="4851" width="23.7109375" style="65" customWidth="1"/>
    <col min="4852" max="4852" width="4.28515625" style="65" bestFit="1" customWidth="1"/>
    <col min="4853" max="4853" width="5.42578125" style="65" bestFit="1" customWidth="1"/>
    <col min="4854" max="4854" width="6.85546875" style="65" customWidth="1"/>
    <col min="4855" max="4855" width="6.42578125" style="65" customWidth="1"/>
    <col min="4856" max="4856" width="6.7109375" style="65" customWidth="1"/>
    <col min="4857" max="4857" width="9" style="65" customWidth="1"/>
    <col min="4858" max="4858" width="9.140625" style="65" customWidth="1"/>
    <col min="4859" max="4859" width="22.85546875" style="65" customWidth="1"/>
    <col min="4860" max="4860" width="4.85546875" style="65" customWidth="1"/>
    <col min="4861" max="4861" width="22.5703125" style="65" customWidth="1"/>
    <col min="4862" max="4862" width="7" style="65" customWidth="1"/>
    <col min="4863" max="4863" width="4.85546875" style="65" customWidth="1"/>
    <col min="4864" max="4864" width="5.140625" style="65" bestFit="1" customWidth="1"/>
    <col min="4865" max="4865" width="8.42578125" style="65" customWidth="1"/>
    <col min="4866" max="4866" width="9.5703125" style="65" customWidth="1"/>
    <col min="4867" max="5105" width="9.140625" style="65"/>
    <col min="5106" max="5106" width="4.85546875" style="65" bestFit="1" customWidth="1"/>
    <col min="5107" max="5107" width="23.7109375" style="65" customWidth="1"/>
    <col min="5108" max="5108" width="4.28515625" style="65" bestFit="1" customWidth="1"/>
    <col min="5109" max="5109" width="5.42578125" style="65" bestFit="1" customWidth="1"/>
    <col min="5110" max="5110" width="6.85546875" style="65" customWidth="1"/>
    <col min="5111" max="5111" width="6.42578125" style="65" customWidth="1"/>
    <col min="5112" max="5112" width="6.7109375" style="65" customWidth="1"/>
    <col min="5113" max="5113" width="9" style="65" customWidth="1"/>
    <col min="5114" max="5114" width="9.140625" style="65" customWidth="1"/>
    <col min="5115" max="5115" width="22.85546875" style="65" customWidth="1"/>
    <col min="5116" max="5116" width="4.85546875" style="65" customWidth="1"/>
    <col min="5117" max="5117" width="22.5703125" style="65" customWidth="1"/>
    <col min="5118" max="5118" width="7" style="65" customWidth="1"/>
    <col min="5119" max="5119" width="4.85546875" style="65" customWidth="1"/>
    <col min="5120" max="5120" width="5.140625" style="65" bestFit="1" customWidth="1"/>
    <col min="5121" max="5121" width="8.42578125" style="65" customWidth="1"/>
    <col min="5122" max="5122" width="9.5703125" style="65" customWidth="1"/>
    <col min="5123" max="5361" width="9.140625" style="65"/>
    <col min="5362" max="5362" width="4.85546875" style="65" bestFit="1" customWidth="1"/>
    <col min="5363" max="5363" width="23.7109375" style="65" customWidth="1"/>
    <col min="5364" max="5364" width="4.28515625" style="65" bestFit="1" customWidth="1"/>
    <col min="5365" max="5365" width="5.42578125" style="65" bestFit="1" customWidth="1"/>
    <col min="5366" max="5366" width="6.85546875" style="65" customWidth="1"/>
    <col min="5367" max="5367" width="6.42578125" style="65" customWidth="1"/>
    <col min="5368" max="5368" width="6.7109375" style="65" customWidth="1"/>
    <col min="5369" max="5369" width="9" style="65" customWidth="1"/>
    <col min="5370" max="5370" width="9.140625" style="65" customWidth="1"/>
    <col min="5371" max="5371" width="22.85546875" style="65" customWidth="1"/>
    <col min="5372" max="5372" width="4.85546875" style="65" customWidth="1"/>
    <col min="5373" max="5373" width="22.5703125" style="65" customWidth="1"/>
    <col min="5374" max="5374" width="7" style="65" customWidth="1"/>
    <col min="5375" max="5375" width="4.85546875" style="65" customWidth="1"/>
    <col min="5376" max="5376" width="5.140625" style="65" bestFit="1" customWidth="1"/>
    <col min="5377" max="5377" width="8.42578125" style="65" customWidth="1"/>
    <col min="5378" max="5378" width="9.5703125" style="65" customWidth="1"/>
    <col min="5379" max="5617" width="9.140625" style="65"/>
    <col min="5618" max="5618" width="4.85546875" style="65" bestFit="1" customWidth="1"/>
    <col min="5619" max="5619" width="23.7109375" style="65" customWidth="1"/>
    <col min="5620" max="5620" width="4.28515625" style="65" bestFit="1" customWidth="1"/>
    <col min="5621" max="5621" width="5.42578125" style="65" bestFit="1" customWidth="1"/>
    <col min="5622" max="5622" width="6.85546875" style="65" customWidth="1"/>
    <col min="5623" max="5623" width="6.42578125" style="65" customWidth="1"/>
    <col min="5624" max="5624" width="6.7109375" style="65" customWidth="1"/>
    <col min="5625" max="5625" width="9" style="65" customWidth="1"/>
    <col min="5626" max="5626" width="9.140625" style="65" customWidth="1"/>
    <col min="5627" max="5627" width="22.85546875" style="65" customWidth="1"/>
    <col min="5628" max="5628" width="4.85546875" style="65" customWidth="1"/>
    <col min="5629" max="5629" width="22.5703125" style="65" customWidth="1"/>
    <col min="5630" max="5630" width="7" style="65" customWidth="1"/>
    <col min="5631" max="5631" width="4.85546875" style="65" customWidth="1"/>
    <col min="5632" max="5632" width="5.140625" style="65" bestFit="1" customWidth="1"/>
    <col min="5633" max="5633" width="8.42578125" style="65" customWidth="1"/>
    <col min="5634" max="5634" width="9.5703125" style="65" customWidth="1"/>
    <col min="5635" max="5873" width="9.140625" style="65"/>
    <col min="5874" max="5874" width="4.85546875" style="65" bestFit="1" customWidth="1"/>
    <col min="5875" max="5875" width="23.7109375" style="65" customWidth="1"/>
    <col min="5876" max="5876" width="4.28515625" style="65" bestFit="1" customWidth="1"/>
    <col min="5877" max="5877" width="5.42578125" style="65" bestFit="1" customWidth="1"/>
    <col min="5878" max="5878" width="6.85546875" style="65" customWidth="1"/>
    <col min="5879" max="5879" width="6.42578125" style="65" customWidth="1"/>
    <col min="5880" max="5880" width="6.7109375" style="65" customWidth="1"/>
    <col min="5881" max="5881" width="9" style="65" customWidth="1"/>
    <col min="5882" max="5882" width="9.140625" style="65" customWidth="1"/>
    <col min="5883" max="5883" width="22.85546875" style="65" customWidth="1"/>
    <col min="5884" max="5884" width="4.85546875" style="65" customWidth="1"/>
    <col min="5885" max="5885" width="22.5703125" style="65" customWidth="1"/>
    <col min="5886" max="5886" width="7" style="65" customWidth="1"/>
    <col min="5887" max="5887" width="4.85546875" style="65" customWidth="1"/>
    <col min="5888" max="5888" width="5.140625" style="65" bestFit="1" customWidth="1"/>
    <col min="5889" max="5889" width="8.42578125" style="65" customWidth="1"/>
    <col min="5890" max="5890" width="9.5703125" style="65" customWidth="1"/>
    <col min="5891" max="6129" width="9.140625" style="65"/>
    <col min="6130" max="6130" width="4.85546875" style="65" bestFit="1" customWidth="1"/>
    <col min="6131" max="6131" width="23.7109375" style="65" customWidth="1"/>
    <col min="6132" max="6132" width="4.28515625" style="65" bestFit="1" customWidth="1"/>
    <col min="6133" max="6133" width="5.42578125" style="65" bestFit="1" customWidth="1"/>
    <col min="6134" max="6134" width="6.85546875" style="65" customWidth="1"/>
    <col min="6135" max="6135" width="6.42578125" style="65" customWidth="1"/>
    <col min="6136" max="6136" width="6.7109375" style="65" customWidth="1"/>
    <col min="6137" max="6137" width="9" style="65" customWidth="1"/>
    <col min="6138" max="6138" width="9.140625" style="65" customWidth="1"/>
    <col min="6139" max="6139" width="22.85546875" style="65" customWidth="1"/>
    <col min="6140" max="6140" width="4.85546875" style="65" customWidth="1"/>
    <col min="6141" max="6141" width="22.5703125" style="65" customWidth="1"/>
    <col min="6142" max="6142" width="7" style="65" customWidth="1"/>
    <col min="6143" max="6143" width="4.85546875" style="65" customWidth="1"/>
    <col min="6144" max="6144" width="5.140625" style="65" bestFit="1" customWidth="1"/>
    <col min="6145" max="6145" width="8.42578125" style="65" customWidth="1"/>
    <col min="6146" max="6146" width="9.5703125" style="65" customWidth="1"/>
    <col min="6147" max="6385" width="9.140625" style="65"/>
    <col min="6386" max="6386" width="4.85546875" style="65" bestFit="1" customWidth="1"/>
    <col min="6387" max="6387" width="23.7109375" style="65" customWidth="1"/>
    <col min="6388" max="6388" width="4.28515625" style="65" bestFit="1" customWidth="1"/>
    <col min="6389" max="6389" width="5.42578125" style="65" bestFit="1" customWidth="1"/>
    <col min="6390" max="6390" width="6.85546875" style="65" customWidth="1"/>
    <col min="6391" max="6391" width="6.42578125" style="65" customWidth="1"/>
    <col min="6392" max="6392" width="6.7109375" style="65" customWidth="1"/>
    <col min="6393" max="6393" width="9" style="65" customWidth="1"/>
    <col min="6394" max="6394" width="9.140625" style="65" customWidth="1"/>
    <col min="6395" max="6395" width="22.85546875" style="65" customWidth="1"/>
    <col min="6396" max="6396" width="4.85546875" style="65" customWidth="1"/>
    <col min="6397" max="6397" width="22.5703125" style="65" customWidth="1"/>
    <col min="6398" max="6398" width="7" style="65" customWidth="1"/>
    <col min="6399" max="6399" width="4.85546875" style="65" customWidth="1"/>
    <col min="6400" max="6400" width="5.140625" style="65" bestFit="1" customWidth="1"/>
    <col min="6401" max="6401" width="8.42578125" style="65" customWidth="1"/>
    <col min="6402" max="6402" width="9.5703125" style="65" customWidth="1"/>
    <col min="6403" max="6641" width="9.140625" style="65"/>
    <col min="6642" max="6642" width="4.85546875" style="65" bestFit="1" customWidth="1"/>
    <col min="6643" max="6643" width="23.7109375" style="65" customWidth="1"/>
    <col min="6644" max="6644" width="4.28515625" style="65" bestFit="1" customWidth="1"/>
    <col min="6645" max="6645" width="5.42578125" style="65" bestFit="1" customWidth="1"/>
    <col min="6646" max="6646" width="6.85546875" style="65" customWidth="1"/>
    <col min="6647" max="6647" width="6.42578125" style="65" customWidth="1"/>
    <col min="6648" max="6648" width="6.7109375" style="65" customWidth="1"/>
    <col min="6649" max="6649" width="9" style="65" customWidth="1"/>
    <col min="6650" max="6650" width="9.140625" style="65" customWidth="1"/>
    <col min="6651" max="6651" width="22.85546875" style="65" customWidth="1"/>
    <col min="6652" max="6652" width="4.85546875" style="65" customWidth="1"/>
    <col min="6653" max="6653" width="22.5703125" style="65" customWidth="1"/>
    <col min="6654" max="6654" width="7" style="65" customWidth="1"/>
    <col min="6655" max="6655" width="4.85546875" style="65" customWidth="1"/>
    <col min="6656" max="6656" width="5.140625" style="65" bestFit="1" customWidth="1"/>
    <col min="6657" max="6657" width="8.42578125" style="65" customWidth="1"/>
    <col min="6658" max="6658" width="9.5703125" style="65" customWidth="1"/>
    <col min="6659" max="6897" width="9.140625" style="65"/>
    <col min="6898" max="6898" width="4.85546875" style="65" bestFit="1" customWidth="1"/>
    <col min="6899" max="6899" width="23.7109375" style="65" customWidth="1"/>
    <col min="6900" max="6900" width="4.28515625" style="65" bestFit="1" customWidth="1"/>
    <col min="6901" max="6901" width="5.42578125" style="65" bestFit="1" customWidth="1"/>
    <col min="6902" max="6902" width="6.85546875" style="65" customWidth="1"/>
    <col min="6903" max="6903" width="6.42578125" style="65" customWidth="1"/>
    <col min="6904" max="6904" width="6.7109375" style="65" customWidth="1"/>
    <col min="6905" max="6905" width="9" style="65" customWidth="1"/>
    <col min="6906" max="6906" width="9.140625" style="65" customWidth="1"/>
    <col min="6907" max="6907" width="22.85546875" style="65" customWidth="1"/>
    <col min="6908" max="6908" width="4.85546875" style="65" customWidth="1"/>
    <col min="6909" max="6909" width="22.5703125" style="65" customWidth="1"/>
    <col min="6910" max="6910" width="7" style="65" customWidth="1"/>
    <col min="6911" max="6911" width="4.85546875" style="65" customWidth="1"/>
    <col min="6912" max="6912" width="5.140625" style="65" bestFit="1" customWidth="1"/>
    <col min="6913" max="6913" width="8.42578125" style="65" customWidth="1"/>
    <col min="6914" max="6914" width="9.5703125" style="65" customWidth="1"/>
    <col min="6915" max="7153" width="9.140625" style="65"/>
    <col min="7154" max="7154" width="4.85546875" style="65" bestFit="1" customWidth="1"/>
    <col min="7155" max="7155" width="23.7109375" style="65" customWidth="1"/>
    <col min="7156" max="7156" width="4.28515625" style="65" bestFit="1" customWidth="1"/>
    <col min="7157" max="7157" width="5.42578125" style="65" bestFit="1" customWidth="1"/>
    <col min="7158" max="7158" width="6.85546875" style="65" customWidth="1"/>
    <col min="7159" max="7159" width="6.42578125" style="65" customWidth="1"/>
    <col min="7160" max="7160" width="6.7109375" style="65" customWidth="1"/>
    <col min="7161" max="7161" width="9" style="65" customWidth="1"/>
    <col min="7162" max="7162" width="9.140625" style="65" customWidth="1"/>
    <col min="7163" max="7163" width="22.85546875" style="65" customWidth="1"/>
    <col min="7164" max="7164" width="4.85546875" style="65" customWidth="1"/>
    <col min="7165" max="7165" width="22.5703125" style="65" customWidth="1"/>
    <col min="7166" max="7166" width="7" style="65" customWidth="1"/>
    <col min="7167" max="7167" width="4.85546875" style="65" customWidth="1"/>
    <col min="7168" max="7168" width="5.140625" style="65" bestFit="1" customWidth="1"/>
    <col min="7169" max="7169" width="8.42578125" style="65" customWidth="1"/>
    <col min="7170" max="7170" width="9.5703125" style="65" customWidth="1"/>
    <col min="7171" max="7409" width="9.140625" style="65"/>
    <col min="7410" max="7410" width="4.85546875" style="65" bestFit="1" customWidth="1"/>
    <col min="7411" max="7411" width="23.7109375" style="65" customWidth="1"/>
    <col min="7412" max="7412" width="4.28515625" style="65" bestFit="1" customWidth="1"/>
    <col min="7413" max="7413" width="5.42578125" style="65" bestFit="1" customWidth="1"/>
    <col min="7414" max="7414" width="6.85546875" style="65" customWidth="1"/>
    <col min="7415" max="7415" width="6.42578125" style="65" customWidth="1"/>
    <col min="7416" max="7416" width="6.7109375" style="65" customWidth="1"/>
    <col min="7417" max="7417" width="9" style="65" customWidth="1"/>
    <col min="7418" max="7418" width="9.140625" style="65" customWidth="1"/>
    <col min="7419" max="7419" width="22.85546875" style="65" customWidth="1"/>
    <col min="7420" max="7420" width="4.85546875" style="65" customWidth="1"/>
    <col min="7421" max="7421" width="22.5703125" style="65" customWidth="1"/>
    <col min="7422" max="7422" width="7" style="65" customWidth="1"/>
    <col min="7423" max="7423" width="4.85546875" style="65" customWidth="1"/>
    <col min="7424" max="7424" width="5.140625" style="65" bestFit="1" customWidth="1"/>
    <col min="7425" max="7425" width="8.42578125" style="65" customWidth="1"/>
    <col min="7426" max="7426" width="9.5703125" style="65" customWidth="1"/>
    <col min="7427" max="7665" width="9.140625" style="65"/>
    <col min="7666" max="7666" width="4.85546875" style="65" bestFit="1" customWidth="1"/>
    <col min="7667" max="7667" width="23.7109375" style="65" customWidth="1"/>
    <col min="7668" max="7668" width="4.28515625" style="65" bestFit="1" customWidth="1"/>
    <col min="7669" max="7669" width="5.42578125" style="65" bestFit="1" customWidth="1"/>
    <col min="7670" max="7670" width="6.85546875" style="65" customWidth="1"/>
    <col min="7671" max="7671" width="6.42578125" style="65" customWidth="1"/>
    <col min="7672" max="7672" width="6.7109375" style="65" customWidth="1"/>
    <col min="7673" max="7673" width="9" style="65" customWidth="1"/>
    <col min="7674" max="7674" width="9.140625" style="65" customWidth="1"/>
    <col min="7675" max="7675" width="22.85546875" style="65" customWidth="1"/>
    <col min="7676" max="7676" width="4.85546875" style="65" customWidth="1"/>
    <col min="7677" max="7677" width="22.5703125" style="65" customWidth="1"/>
    <col min="7678" max="7678" width="7" style="65" customWidth="1"/>
    <col min="7679" max="7679" width="4.85546875" style="65" customWidth="1"/>
    <col min="7680" max="7680" width="5.140625" style="65" bestFit="1" customWidth="1"/>
    <col min="7681" max="7681" width="8.42578125" style="65" customWidth="1"/>
    <col min="7682" max="7682" width="9.5703125" style="65" customWidth="1"/>
    <col min="7683" max="7921" width="9.140625" style="65"/>
    <col min="7922" max="7922" width="4.85546875" style="65" bestFit="1" customWidth="1"/>
    <col min="7923" max="7923" width="23.7109375" style="65" customWidth="1"/>
    <col min="7924" max="7924" width="4.28515625" style="65" bestFit="1" customWidth="1"/>
    <col min="7925" max="7925" width="5.42578125" style="65" bestFit="1" customWidth="1"/>
    <col min="7926" max="7926" width="6.85546875" style="65" customWidth="1"/>
    <col min="7927" max="7927" width="6.42578125" style="65" customWidth="1"/>
    <col min="7928" max="7928" width="6.7109375" style="65" customWidth="1"/>
    <col min="7929" max="7929" width="9" style="65" customWidth="1"/>
    <col min="7930" max="7930" width="9.140625" style="65" customWidth="1"/>
    <col min="7931" max="7931" width="22.85546875" style="65" customWidth="1"/>
    <col min="7932" max="7932" width="4.85546875" style="65" customWidth="1"/>
    <col min="7933" max="7933" width="22.5703125" style="65" customWidth="1"/>
    <col min="7934" max="7934" width="7" style="65" customWidth="1"/>
    <col min="7935" max="7935" width="4.85546875" style="65" customWidth="1"/>
    <col min="7936" max="7936" width="5.140625" style="65" bestFit="1" customWidth="1"/>
    <col min="7937" max="7937" width="8.42578125" style="65" customWidth="1"/>
    <col min="7938" max="7938" width="9.5703125" style="65" customWidth="1"/>
    <col min="7939" max="8177" width="9.140625" style="65"/>
    <col min="8178" max="8178" width="4.85546875" style="65" bestFit="1" customWidth="1"/>
    <col min="8179" max="8179" width="23.7109375" style="65" customWidth="1"/>
    <col min="8180" max="8180" width="4.28515625" style="65" bestFit="1" customWidth="1"/>
    <col min="8181" max="8181" width="5.42578125" style="65" bestFit="1" customWidth="1"/>
    <col min="8182" max="8182" width="6.85546875" style="65" customWidth="1"/>
    <col min="8183" max="8183" width="6.42578125" style="65" customWidth="1"/>
    <col min="8184" max="8184" width="6.7109375" style="65" customWidth="1"/>
    <col min="8185" max="8185" width="9" style="65" customWidth="1"/>
    <col min="8186" max="8186" width="9.140625" style="65" customWidth="1"/>
    <col min="8187" max="8187" width="22.85546875" style="65" customWidth="1"/>
    <col min="8188" max="8188" width="4.85546875" style="65" customWidth="1"/>
    <col min="8189" max="8189" width="22.5703125" style="65" customWidth="1"/>
    <col min="8190" max="8190" width="7" style="65" customWidth="1"/>
    <col min="8191" max="8191" width="4.85546875" style="65" customWidth="1"/>
    <col min="8192" max="8192" width="5.140625" style="65" bestFit="1" customWidth="1"/>
    <col min="8193" max="8193" width="8.42578125" style="65" customWidth="1"/>
    <col min="8194" max="8194" width="9.5703125" style="65" customWidth="1"/>
    <col min="8195" max="8433" width="9.140625" style="65"/>
    <col min="8434" max="8434" width="4.85546875" style="65" bestFit="1" customWidth="1"/>
    <col min="8435" max="8435" width="23.7109375" style="65" customWidth="1"/>
    <col min="8436" max="8436" width="4.28515625" style="65" bestFit="1" customWidth="1"/>
    <col min="8437" max="8437" width="5.42578125" style="65" bestFit="1" customWidth="1"/>
    <col min="8438" max="8438" width="6.85546875" style="65" customWidth="1"/>
    <col min="8439" max="8439" width="6.42578125" style="65" customWidth="1"/>
    <col min="8440" max="8440" width="6.7109375" style="65" customWidth="1"/>
    <col min="8441" max="8441" width="9" style="65" customWidth="1"/>
    <col min="8442" max="8442" width="9.140625" style="65" customWidth="1"/>
    <col min="8443" max="8443" width="22.85546875" style="65" customWidth="1"/>
    <col min="8444" max="8444" width="4.85546875" style="65" customWidth="1"/>
    <col min="8445" max="8445" width="22.5703125" style="65" customWidth="1"/>
    <col min="8446" max="8446" width="7" style="65" customWidth="1"/>
    <col min="8447" max="8447" width="4.85546875" style="65" customWidth="1"/>
    <col min="8448" max="8448" width="5.140625" style="65" bestFit="1" customWidth="1"/>
    <col min="8449" max="8449" width="8.42578125" style="65" customWidth="1"/>
    <col min="8450" max="8450" width="9.5703125" style="65" customWidth="1"/>
    <col min="8451" max="8689" width="9.140625" style="65"/>
    <col min="8690" max="8690" width="4.85546875" style="65" bestFit="1" customWidth="1"/>
    <col min="8691" max="8691" width="23.7109375" style="65" customWidth="1"/>
    <col min="8692" max="8692" width="4.28515625" style="65" bestFit="1" customWidth="1"/>
    <col min="8693" max="8693" width="5.42578125" style="65" bestFit="1" customWidth="1"/>
    <col min="8694" max="8694" width="6.85546875" style="65" customWidth="1"/>
    <col min="8695" max="8695" width="6.42578125" style="65" customWidth="1"/>
    <col min="8696" max="8696" width="6.7109375" style="65" customWidth="1"/>
    <col min="8697" max="8697" width="9" style="65" customWidth="1"/>
    <col min="8698" max="8698" width="9.140625" style="65" customWidth="1"/>
    <col min="8699" max="8699" width="22.85546875" style="65" customWidth="1"/>
    <col min="8700" max="8700" width="4.85546875" style="65" customWidth="1"/>
    <col min="8701" max="8701" width="22.5703125" style="65" customWidth="1"/>
    <col min="8702" max="8702" width="7" style="65" customWidth="1"/>
    <col min="8703" max="8703" width="4.85546875" style="65" customWidth="1"/>
    <col min="8704" max="8704" width="5.140625" style="65" bestFit="1" customWidth="1"/>
    <col min="8705" max="8705" width="8.42578125" style="65" customWidth="1"/>
    <col min="8706" max="8706" width="9.5703125" style="65" customWidth="1"/>
    <col min="8707" max="8945" width="9.140625" style="65"/>
    <col min="8946" max="8946" width="4.85546875" style="65" bestFit="1" customWidth="1"/>
    <col min="8947" max="8947" width="23.7109375" style="65" customWidth="1"/>
    <col min="8948" max="8948" width="4.28515625" style="65" bestFit="1" customWidth="1"/>
    <col min="8949" max="8949" width="5.42578125" style="65" bestFit="1" customWidth="1"/>
    <col min="8950" max="8950" width="6.85546875" style="65" customWidth="1"/>
    <col min="8951" max="8951" width="6.42578125" style="65" customWidth="1"/>
    <col min="8952" max="8952" width="6.7109375" style="65" customWidth="1"/>
    <col min="8953" max="8953" width="9" style="65" customWidth="1"/>
    <col min="8954" max="8954" width="9.140625" style="65" customWidth="1"/>
    <col min="8955" max="8955" width="22.85546875" style="65" customWidth="1"/>
    <col min="8956" max="8956" width="4.85546875" style="65" customWidth="1"/>
    <col min="8957" max="8957" width="22.5703125" style="65" customWidth="1"/>
    <col min="8958" max="8958" width="7" style="65" customWidth="1"/>
    <col min="8959" max="8959" width="4.85546875" style="65" customWidth="1"/>
    <col min="8960" max="8960" width="5.140625" style="65" bestFit="1" customWidth="1"/>
    <col min="8961" max="8961" width="8.42578125" style="65" customWidth="1"/>
    <col min="8962" max="8962" width="9.5703125" style="65" customWidth="1"/>
    <col min="8963" max="9201" width="9.140625" style="65"/>
    <col min="9202" max="9202" width="4.85546875" style="65" bestFit="1" customWidth="1"/>
    <col min="9203" max="9203" width="23.7109375" style="65" customWidth="1"/>
    <col min="9204" max="9204" width="4.28515625" style="65" bestFit="1" customWidth="1"/>
    <col min="9205" max="9205" width="5.42578125" style="65" bestFit="1" customWidth="1"/>
    <col min="9206" max="9206" width="6.85546875" style="65" customWidth="1"/>
    <col min="9207" max="9207" width="6.42578125" style="65" customWidth="1"/>
    <col min="9208" max="9208" width="6.7109375" style="65" customWidth="1"/>
    <col min="9209" max="9209" width="9" style="65" customWidth="1"/>
    <col min="9210" max="9210" width="9.140625" style="65" customWidth="1"/>
    <col min="9211" max="9211" width="22.85546875" style="65" customWidth="1"/>
    <col min="9212" max="9212" width="4.85546875" style="65" customWidth="1"/>
    <col min="9213" max="9213" width="22.5703125" style="65" customWidth="1"/>
    <col min="9214" max="9214" width="7" style="65" customWidth="1"/>
    <col min="9215" max="9215" width="4.85546875" style="65" customWidth="1"/>
    <col min="9216" max="9216" width="5.140625" style="65" bestFit="1" customWidth="1"/>
    <col min="9217" max="9217" width="8.42578125" style="65" customWidth="1"/>
    <col min="9218" max="9218" width="9.5703125" style="65" customWidth="1"/>
    <col min="9219" max="9457" width="9.140625" style="65"/>
    <col min="9458" max="9458" width="4.85546875" style="65" bestFit="1" customWidth="1"/>
    <col min="9459" max="9459" width="23.7109375" style="65" customWidth="1"/>
    <col min="9460" max="9460" width="4.28515625" style="65" bestFit="1" customWidth="1"/>
    <col min="9461" max="9461" width="5.42578125" style="65" bestFit="1" customWidth="1"/>
    <col min="9462" max="9462" width="6.85546875" style="65" customWidth="1"/>
    <col min="9463" max="9463" width="6.42578125" style="65" customWidth="1"/>
    <col min="9464" max="9464" width="6.7109375" style="65" customWidth="1"/>
    <col min="9465" max="9465" width="9" style="65" customWidth="1"/>
    <col min="9466" max="9466" width="9.140625" style="65" customWidth="1"/>
    <col min="9467" max="9467" width="22.85546875" style="65" customWidth="1"/>
    <col min="9468" max="9468" width="4.85546875" style="65" customWidth="1"/>
    <col min="9469" max="9469" width="22.5703125" style="65" customWidth="1"/>
    <col min="9470" max="9470" width="7" style="65" customWidth="1"/>
    <col min="9471" max="9471" width="4.85546875" style="65" customWidth="1"/>
    <col min="9472" max="9472" width="5.140625" style="65" bestFit="1" customWidth="1"/>
    <col min="9473" max="9473" width="8.42578125" style="65" customWidth="1"/>
    <col min="9474" max="9474" width="9.5703125" style="65" customWidth="1"/>
    <col min="9475" max="9713" width="9.140625" style="65"/>
    <col min="9714" max="9714" width="4.85546875" style="65" bestFit="1" customWidth="1"/>
    <col min="9715" max="9715" width="23.7109375" style="65" customWidth="1"/>
    <col min="9716" max="9716" width="4.28515625" style="65" bestFit="1" customWidth="1"/>
    <col min="9717" max="9717" width="5.42578125" style="65" bestFit="1" customWidth="1"/>
    <col min="9718" max="9718" width="6.85546875" style="65" customWidth="1"/>
    <col min="9719" max="9719" width="6.42578125" style="65" customWidth="1"/>
    <col min="9720" max="9720" width="6.7109375" style="65" customWidth="1"/>
    <col min="9721" max="9721" width="9" style="65" customWidth="1"/>
    <col min="9722" max="9722" width="9.140625" style="65" customWidth="1"/>
    <col min="9723" max="9723" width="22.85546875" style="65" customWidth="1"/>
    <col min="9724" max="9724" width="4.85546875" style="65" customWidth="1"/>
    <col min="9725" max="9725" width="22.5703125" style="65" customWidth="1"/>
    <col min="9726" max="9726" width="7" style="65" customWidth="1"/>
    <col min="9727" max="9727" width="4.85546875" style="65" customWidth="1"/>
    <col min="9728" max="9728" width="5.140625" style="65" bestFit="1" customWidth="1"/>
    <col min="9729" max="9729" width="8.42578125" style="65" customWidth="1"/>
    <col min="9730" max="9730" width="9.5703125" style="65" customWidth="1"/>
    <col min="9731" max="9969" width="9.140625" style="65"/>
    <col min="9970" max="9970" width="4.85546875" style="65" bestFit="1" customWidth="1"/>
    <col min="9971" max="9971" width="23.7109375" style="65" customWidth="1"/>
    <col min="9972" max="9972" width="4.28515625" style="65" bestFit="1" customWidth="1"/>
    <col min="9973" max="9973" width="5.42578125" style="65" bestFit="1" customWidth="1"/>
    <col min="9974" max="9974" width="6.85546875" style="65" customWidth="1"/>
    <col min="9975" max="9975" width="6.42578125" style="65" customWidth="1"/>
    <col min="9976" max="9976" width="6.7109375" style="65" customWidth="1"/>
    <col min="9977" max="9977" width="9" style="65" customWidth="1"/>
    <col min="9978" max="9978" width="9.140625" style="65" customWidth="1"/>
    <col min="9979" max="9979" width="22.85546875" style="65" customWidth="1"/>
    <col min="9980" max="9980" width="4.85546875" style="65" customWidth="1"/>
    <col min="9981" max="9981" width="22.5703125" style="65" customWidth="1"/>
    <col min="9982" max="9982" width="7" style="65" customWidth="1"/>
    <col min="9983" max="9983" width="4.85546875" style="65" customWidth="1"/>
    <col min="9984" max="9984" width="5.140625" style="65" bestFit="1" customWidth="1"/>
    <col min="9985" max="9985" width="8.42578125" style="65" customWidth="1"/>
    <col min="9986" max="9986" width="9.5703125" style="65" customWidth="1"/>
    <col min="9987" max="10225" width="9.140625" style="65"/>
    <col min="10226" max="10226" width="4.85546875" style="65" bestFit="1" customWidth="1"/>
    <col min="10227" max="10227" width="23.7109375" style="65" customWidth="1"/>
    <col min="10228" max="10228" width="4.28515625" style="65" bestFit="1" customWidth="1"/>
    <col min="10229" max="10229" width="5.42578125" style="65" bestFit="1" customWidth="1"/>
    <col min="10230" max="10230" width="6.85546875" style="65" customWidth="1"/>
    <col min="10231" max="10231" width="6.42578125" style="65" customWidth="1"/>
    <col min="10232" max="10232" width="6.7109375" style="65" customWidth="1"/>
    <col min="10233" max="10233" width="9" style="65" customWidth="1"/>
    <col min="10234" max="10234" width="9.140625" style="65" customWidth="1"/>
    <col min="10235" max="10235" width="22.85546875" style="65" customWidth="1"/>
    <col min="10236" max="10236" width="4.85546875" style="65" customWidth="1"/>
    <col min="10237" max="10237" width="22.5703125" style="65" customWidth="1"/>
    <col min="10238" max="10238" width="7" style="65" customWidth="1"/>
    <col min="10239" max="10239" width="4.85546875" style="65" customWidth="1"/>
    <col min="10240" max="10240" width="5.140625" style="65" bestFit="1" customWidth="1"/>
    <col min="10241" max="10241" width="8.42578125" style="65" customWidth="1"/>
    <col min="10242" max="10242" width="9.5703125" style="65" customWidth="1"/>
    <col min="10243" max="10481" width="9.140625" style="65"/>
    <col min="10482" max="10482" width="4.85546875" style="65" bestFit="1" customWidth="1"/>
    <col min="10483" max="10483" width="23.7109375" style="65" customWidth="1"/>
    <col min="10484" max="10484" width="4.28515625" style="65" bestFit="1" customWidth="1"/>
    <col min="10485" max="10485" width="5.42578125" style="65" bestFit="1" customWidth="1"/>
    <col min="10486" max="10486" width="6.85546875" style="65" customWidth="1"/>
    <col min="10487" max="10487" width="6.42578125" style="65" customWidth="1"/>
    <col min="10488" max="10488" width="6.7109375" style="65" customWidth="1"/>
    <col min="10489" max="10489" width="9" style="65" customWidth="1"/>
    <col min="10490" max="10490" width="9.140625" style="65" customWidth="1"/>
    <col min="10491" max="10491" width="22.85546875" style="65" customWidth="1"/>
    <col min="10492" max="10492" width="4.85546875" style="65" customWidth="1"/>
    <col min="10493" max="10493" width="22.5703125" style="65" customWidth="1"/>
    <col min="10494" max="10494" width="7" style="65" customWidth="1"/>
    <col min="10495" max="10495" width="4.85546875" style="65" customWidth="1"/>
    <col min="10496" max="10496" width="5.140625" style="65" bestFit="1" customWidth="1"/>
    <col min="10497" max="10497" width="8.42578125" style="65" customWidth="1"/>
    <col min="10498" max="10498" width="9.5703125" style="65" customWidth="1"/>
    <col min="10499" max="10737" width="9.140625" style="65"/>
    <col min="10738" max="10738" width="4.85546875" style="65" bestFit="1" customWidth="1"/>
    <col min="10739" max="10739" width="23.7109375" style="65" customWidth="1"/>
    <col min="10740" max="10740" width="4.28515625" style="65" bestFit="1" customWidth="1"/>
    <col min="10741" max="10741" width="5.42578125" style="65" bestFit="1" customWidth="1"/>
    <col min="10742" max="10742" width="6.85546875" style="65" customWidth="1"/>
    <col min="10743" max="10743" width="6.42578125" style="65" customWidth="1"/>
    <col min="10744" max="10744" width="6.7109375" style="65" customWidth="1"/>
    <col min="10745" max="10745" width="9" style="65" customWidth="1"/>
    <col min="10746" max="10746" width="9.140625" style="65" customWidth="1"/>
    <col min="10747" max="10747" width="22.85546875" style="65" customWidth="1"/>
    <col min="10748" max="10748" width="4.85546875" style="65" customWidth="1"/>
    <col min="10749" max="10749" width="22.5703125" style="65" customWidth="1"/>
    <col min="10750" max="10750" width="7" style="65" customWidth="1"/>
    <col min="10751" max="10751" width="4.85546875" style="65" customWidth="1"/>
    <col min="10752" max="10752" width="5.140625" style="65" bestFit="1" customWidth="1"/>
    <col min="10753" max="10753" width="8.42578125" style="65" customWidth="1"/>
    <col min="10754" max="10754" width="9.5703125" style="65" customWidth="1"/>
    <col min="10755" max="10993" width="9.140625" style="65"/>
    <col min="10994" max="10994" width="4.85546875" style="65" bestFit="1" customWidth="1"/>
    <col min="10995" max="10995" width="23.7109375" style="65" customWidth="1"/>
    <col min="10996" max="10996" width="4.28515625" style="65" bestFit="1" customWidth="1"/>
    <col min="10997" max="10997" width="5.42578125" style="65" bestFit="1" customWidth="1"/>
    <col min="10998" max="10998" width="6.85546875" style="65" customWidth="1"/>
    <col min="10999" max="10999" width="6.42578125" style="65" customWidth="1"/>
    <col min="11000" max="11000" width="6.7109375" style="65" customWidth="1"/>
    <col min="11001" max="11001" width="9" style="65" customWidth="1"/>
    <col min="11002" max="11002" width="9.140625" style="65" customWidth="1"/>
    <col min="11003" max="11003" width="22.85546875" style="65" customWidth="1"/>
    <col min="11004" max="11004" width="4.85546875" style="65" customWidth="1"/>
    <col min="11005" max="11005" width="22.5703125" style="65" customWidth="1"/>
    <col min="11006" max="11006" width="7" style="65" customWidth="1"/>
    <col min="11007" max="11007" width="4.85546875" style="65" customWidth="1"/>
    <col min="11008" max="11008" width="5.140625" style="65" bestFit="1" customWidth="1"/>
    <col min="11009" max="11009" width="8.42578125" style="65" customWidth="1"/>
    <col min="11010" max="11010" width="9.5703125" style="65" customWidth="1"/>
    <col min="11011" max="11249" width="9.140625" style="65"/>
    <col min="11250" max="11250" width="4.85546875" style="65" bestFit="1" customWidth="1"/>
    <col min="11251" max="11251" width="23.7109375" style="65" customWidth="1"/>
    <col min="11252" max="11252" width="4.28515625" style="65" bestFit="1" customWidth="1"/>
    <col min="11253" max="11253" width="5.42578125" style="65" bestFit="1" customWidth="1"/>
    <col min="11254" max="11254" width="6.85546875" style="65" customWidth="1"/>
    <col min="11255" max="11255" width="6.42578125" style="65" customWidth="1"/>
    <col min="11256" max="11256" width="6.7109375" style="65" customWidth="1"/>
    <col min="11257" max="11257" width="9" style="65" customWidth="1"/>
    <col min="11258" max="11258" width="9.140625" style="65" customWidth="1"/>
    <col min="11259" max="11259" width="22.85546875" style="65" customWidth="1"/>
    <col min="11260" max="11260" width="4.85546875" style="65" customWidth="1"/>
    <col min="11261" max="11261" width="22.5703125" style="65" customWidth="1"/>
    <col min="11262" max="11262" width="7" style="65" customWidth="1"/>
    <col min="11263" max="11263" width="4.85546875" style="65" customWidth="1"/>
    <col min="11264" max="11264" width="5.140625" style="65" bestFit="1" customWidth="1"/>
    <col min="11265" max="11265" width="8.42578125" style="65" customWidth="1"/>
    <col min="11266" max="11266" width="9.5703125" style="65" customWidth="1"/>
    <col min="11267" max="11505" width="9.140625" style="65"/>
    <col min="11506" max="11506" width="4.85546875" style="65" bestFit="1" customWidth="1"/>
    <col min="11507" max="11507" width="23.7109375" style="65" customWidth="1"/>
    <col min="11508" max="11508" width="4.28515625" style="65" bestFit="1" customWidth="1"/>
    <col min="11509" max="11509" width="5.42578125" style="65" bestFit="1" customWidth="1"/>
    <col min="11510" max="11510" width="6.85546875" style="65" customWidth="1"/>
    <col min="11511" max="11511" width="6.42578125" style="65" customWidth="1"/>
    <col min="11512" max="11512" width="6.7109375" style="65" customWidth="1"/>
    <col min="11513" max="11513" width="9" style="65" customWidth="1"/>
    <col min="11514" max="11514" width="9.140625" style="65" customWidth="1"/>
    <col min="11515" max="11515" width="22.85546875" style="65" customWidth="1"/>
    <col min="11516" max="11516" width="4.85546875" style="65" customWidth="1"/>
    <col min="11517" max="11517" width="22.5703125" style="65" customWidth="1"/>
    <col min="11518" max="11518" width="7" style="65" customWidth="1"/>
    <col min="11519" max="11519" width="4.85546875" style="65" customWidth="1"/>
    <col min="11520" max="11520" width="5.140625" style="65" bestFit="1" customWidth="1"/>
    <col min="11521" max="11521" width="8.42578125" style="65" customWidth="1"/>
    <col min="11522" max="11522" width="9.5703125" style="65" customWidth="1"/>
    <col min="11523" max="11761" width="9.140625" style="65"/>
    <col min="11762" max="11762" width="4.85546875" style="65" bestFit="1" customWidth="1"/>
    <col min="11763" max="11763" width="23.7109375" style="65" customWidth="1"/>
    <col min="11764" max="11764" width="4.28515625" style="65" bestFit="1" customWidth="1"/>
    <col min="11765" max="11765" width="5.42578125" style="65" bestFit="1" customWidth="1"/>
    <col min="11766" max="11766" width="6.85546875" style="65" customWidth="1"/>
    <col min="11767" max="11767" width="6.42578125" style="65" customWidth="1"/>
    <col min="11768" max="11768" width="6.7109375" style="65" customWidth="1"/>
    <col min="11769" max="11769" width="9" style="65" customWidth="1"/>
    <col min="11770" max="11770" width="9.140625" style="65" customWidth="1"/>
    <col min="11771" max="11771" width="22.85546875" style="65" customWidth="1"/>
    <col min="11772" max="11772" width="4.85546875" style="65" customWidth="1"/>
    <col min="11773" max="11773" width="22.5703125" style="65" customWidth="1"/>
    <col min="11774" max="11774" width="7" style="65" customWidth="1"/>
    <col min="11775" max="11775" width="4.85546875" style="65" customWidth="1"/>
    <col min="11776" max="11776" width="5.140625" style="65" bestFit="1" customWidth="1"/>
    <col min="11777" max="11777" width="8.42578125" style="65" customWidth="1"/>
    <col min="11778" max="11778" width="9.5703125" style="65" customWidth="1"/>
    <col min="11779" max="12017" width="9.140625" style="65"/>
    <col min="12018" max="12018" width="4.85546875" style="65" bestFit="1" customWidth="1"/>
    <col min="12019" max="12019" width="23.7109375" style="65" customWidth="1"/>
    <col min="12020" max="12020" width="4.28515625" style="65" bestFit="1" customWidth="1"/>
    <col min="12021" max="12021" width="5.42578125" style="65" bestFit="1" customWidth="1"/>
    <col min="12022" max="12022" width="6.85546875" style="65" customWidth="1"/>
    <col min="12023" max="12023" width="6.42578125" style="65" customWidth="1"/>
    <col min="12024" max="12024" width="6.7109375" style="65" customWidth="1"/>
    <col min="12025" max="12025" width="9" style="65" customWidth="1"/>
    <col min="12026" max="12026" width="9.140625" style="65" customWidth="1"/>
    <col min="12027" max="12027" width="22.85546875" style="65" customWidth="1"/>
    <col min="12028" max="12028" width="4.85546875" style="65" customWidth="1"/>
    <col min="12029" max="12029" width="22.5703125" style="65" customWidth="1"/>
    <col min="12030" max="12030" width="7" style="65" customWidth="1"/>
    <col min="12031" max="12031" width="4.85546875" style="65" customWidth="1"/>
    <col min="12032" max="12032" width="5.140625" style="65" bestFit="1" customWidth="1"/>
    <col min="12033" max="12033" width="8.42578125" style="65" customWidth="1"/>
    <col min="12034" max="12034" width="9.5703125" style="65" customWidth="1"/>
    <col min="12035" max="12273" width="9.140625" style="65"/>
    <col min="12274" max="12274" width="4.85546875" style="65" bestFit="1" customWidth="1"/>
    <col min="12275" max="12275" width="23.7109375" style="65" customWidth="1"/>
    <col min="12276" max="12276" width="4.28515625" style="65" bestFit="1" customWidth="1"/>
    <col min="12277" max="12277" width="5.42578125" style="65" bestFit="1" customWidth="1"/>
    <col min="12278" max="12278" width="6.85546875" style="65" customWidth="1"/>
    <col min="12279" max="12279" width="6.42578125" style="65" customWidth="1"/>
    <col min="12280" max="12280" width="6.7109375" style="65" customWidth="1"/>
    <col min="12281" max="12281" width="9" style="65" customWidth="1"/>
    <col min="12282" max="12282" width="9.140625" style="65" customWidth="1"/>
    <col min="12283" max="12283" width="22.85546875" style="65" customWidth="1"/>
    <col min="12284" max="12284" width="4.85546875" style="65" customWidth="1"/>
    <col min="12285" max="12285" width="22.5703125" style="65" customWidth="1"/>
    <col min="12286" max="12286" width="7" style="65" customWidth="1"/>
    <col min="12287" max="12287" width="4.85546875" style="65" customWidth="1"/>
    <col min="12288" max="12288" width="5.140625" style="65" bestFit="1" customWidth="1"/>
    <col min="12289" max="12289" width="8.42578125" style="65" customWidth="1"/>
    <col min="12290" max="12290" width="9.5703125" style="65" customWidth="1"/>
    <col min="12291" max="12529" width="9.140625" style="65"/>
    <col min="12530" max="12530" width="4.85546875" style="65" bestFit="1" customWidth="1"/>
    <col min="12531" max="12531" width="23.7109375" style="65" customWidth="1"/>
    <col min="12532" max="12532" width="4.28515625" style="65" bestFit="1" customWidth="1"/>
    <col min="12533" max="12533" width="5.42578125" style="65" bestFit="1" customWidth="1"/>
    <col min="12534" max="12534" width="6.85546875" style="65" customWidth="1"/>
    <col min="12535" max="12535" width="6.42578125" style="65" customWidth="1"/>
    <col min="12536" max="12536" width="6.7109375" style="65" customWidth="1"/>
    <col min="12537" max="12537" width="9" style="65" customWidth="1"/>
    <col min="12538" max="12538" width="9.140625" style="65" customWidth="1"/>
    <col min="12539" max="12539" width="22.85546875" style="65" customWidth="1"/>
    <col min="12540" max="12540" width="4.85546875" style="65" customWidth="1"/>
    <col min="12541" max="12541" width="22.5703125" style="65" customWidth="1"/>
    <col min="12542" max="12542" width="7" style="65" customWidth="1"/>
    <col min="12543" max="12543" width="4.85546875" style="65" customWidth="1"/>
    <col min="12544" max="12544" width="5.140625" style="65" bestFit="1" customWidth="1"/>
    <col min="12545" max="12545" width="8.42578125" style="65" customWidth="1"/>
    <col min="12546" max="12546" width="9.5703125" style="65" customWidth="1"/>
    <col min="12547" max="12785" width="9.140625" style="65"/>
    <col min="12786" max="12786" width="4.85546875" style="65" bestFit="1" customWidth="1"/>
    <col min="12787" max="12787" width="23.7109375" style="65" customWidth="1"/>
    <col min="12788" max="12788" width="4.28515625" style="65" bestFit="1" customWidth="1"/>
    <col min="12789" max="12789" width="5.42578125" style="65" bestFit="1" customWidth="1"/>
    <col min="12790" max="12790" width="6.85546875" style="65" customWidth="1"/>
    <col min="12791" max="12791" width="6.42578125" style="65" customWidth="1"/>
    <col min="12792" max="12792" width="6.7109375" style="65" customWidth="1"/>
    <col min="12793" max="12793" width="9" style="65" customWidth="1"/>
    <col min="12794" max="12794" width="9.140625" style="65" customWidth="1"/>
    <col min="12795" max="12795" width="22.85546875" style="65" customWidth="1"/>
    <col min="12796" max="12796" width="4.85546875" style="65" customWidth="1"/>
    <col min="12797" max="12797" width="22.5703125" style="65" customWidth="1"/>
    <col min="12798" max="12798" width="7" style="65" customWidth="1"/>
    <col min="12799" max="12799" width="4.85546875" style="65" customWidth="1"/>
    <col min="12800" max="12800" width="5.140625" style="65" bestFit="1" customWidth="1"/>
    <col min="12801" max="12801" width="8.42578125" style="65" customWidth="1"/>
    <col min="12802" max="12802" width="9.5703125" style="65" customWidth="1"/>
    <col min="12803" max="13041" width="9.140625" style="65"/>
    <col min="13042" max="13042" width="4.85546875" style="65" bestFit="1" customWidth="1"/>
    <col min="13043" max="13043" width="23.7109375" style="65" customWidth="1"/>
    <col min="13044" max="13044" width="4.28515625" style="65" bestFit="1" customWidth="1"/>
    <col min="13045" max="13045" width="5.42578125" style="65" bestFit="1" customWidth="1"/>
    <col min="13046" max="13046" width="6.85546875" style="65" customWidth="1"/>
    <col min="13047" max="13047" width="6.42578125" style="65" customWidth="1"/>
    <col min="13048" max="13048" width="6.7109375" style="65" customWidth="1"/>
    <col min="13049" max="13049" width="9" style="65" customWidth="1"/>
    <col min="13050" max="13050" width="9.140625" style="65" customWidth="1"/>
    <col min="13051" max="13051" width="22.85546875" style="65" customWidth="1"/>
    <col min="13052" max="13052" width="4.85546875" style="65" customWidth="1"/>
    <col min="13053" max="13053" width="22.5703125" style="65" customWidth="1"/>
    <col min="13054" max="13054" width="7" style="65" customWidth="1"/>
    <col min="13055" max="13055" width="4.85546875" style="65" customWidth="1"/>
    <col min="13056" max="13056" width="5.140625" style="65" bestFit="1" customWidth="1"/>
    <col min="13057" max="13057" width="8.42578125" style="65" customWidth="1"/>
    <col min="13058" max="13058" width="9.5703125" style="65" customWidth="1"/>
    <col min="13059" max="13297" width="9.140625" style="65"/>
    <col min="13298" max="13298" width="4.85546875" style="65" bestFit="1" customWidth="1"/>
    <col min="13299" max="13299" width="23.7109375" style="65" customWidth="1"/>
    <col min="13300" max="13300" width="4.28515625" style="65" bestFit="1" customWidth="1"/>
    <col min="13301" max="13301" width="5.42578125" style="65" bestFit="1" customWidth="1"/>
    <col min="13302" max="13302" width="6.85546875" style="65" customWidth="1"/>
    <col min="13303" max="13303" width="6.42578125" style="65" customWidth="1"/>
    <col min="13304" max="13304" width="6.7109375" style="65" customWidth="1"/>
    <col min="13305" max="13305" width="9" style="65" customWidth="1"/>
    <col min="13306" max="13306" width="9.140625" style="65" customWidth="1"/>
    <col min="13307" max="13307" width="22.85546875" style="65" customWidth="1"/>
    <col min="13308" max="13308" width="4.85546875" style="65" customWidth="1"/>
    <col min="13309" max="13309" width="22.5703125" style="65" customWidth="1"/>
    <col min="13310" max="13310" width="7" style="65" customWidth="1"/>
    <col min="13311" max="13311" width="4.85546875" style="65" customWidth="1"/>
    <col min="13312" max="13312" width="5.140625" style="65" bestFit="1" customWidth="1"/>
    <col min="13313" max="13313" width="8.42578125" style="65" customWidth="1"/>
    <col min="13314" max="13314" width="9.5703125" style="65" customWidth="1"/>
    <col min="13315" max="13553" width="9.140625" style="65"/>
    <col min="13554" max="13554" width="4.85546875" style="65" bestFit="1" customWidth="1"/>
    <col min="13555" max="13555" width="23.7109375" style="65" customWidth="1"/>
    <col min="13556" max="13556" width="4.28515625" style="65" bestFit="1" customWidth="1"/>
    <col min="13557" max="13557" width="5.42578125" style="65" bestFit="1" customWidth="1"/>
    <col min="13558" max="13558" width="6.85546875" style="65" customWidth="1"/>
    <col min="13559" max="13559" width="6.42578125" style="65" customWidth="1"/>
    <col min="13560" max="13560" width="6.7109375" style="65" customWidth="1"/>
    <col min="13561" max="13561" width="9" style="65" customWidth="1"/>
    <col min="13562" max="13562" width="9.140625" style="65" customWidth="1"/>
    <col min="13563" max="13563" width="22.85546875" style="65" customWidth="1"/>
    <col min="13564" max="13564" width="4.85546875" style="65" customWidth="1"/>
    <col min="13565" max="13565" width="22.5703125" style="65" customWidth="1"/>
    <col min="13566" max="13566" width="7" style="65" customWidth="1"/>
    <col min="13567" max="13567" width="4.85546875" style="65" customWidth="1"/>
    <col min="13568" max="13568" width="5.140625" style="65" bestFit="1" customWidth="1"/>
    <col min="13569" max="13569" width="8.42578125" style="65" customWidth="1"/>
    <col min="13570" max="13570" width="9.5703125" style="65" customWidth="1"/>
    <col min="13571" max="13809" width="9.140625" style="65"/>
    <col min="13810" max="13810" width="4.85546875" style="65" bestFit="1" customWidth="1"/>
    <col min="13811" max="13811" width="23.7109375" style="65" customWidth="1"/>
    <col min="13812" max="13812" width="4.28515625" style="65" bestFit="1" customWidth="1"/>
    <col min="13813" max="13813" width="5.42578125" style="65" bestFit="1" customWidth="1"/>
    <col min="13814" max="13814" width="6.85546875" style="65" customWidth="1"/>
    <col min="13815" max="13815" width="6.42578125" style="65" customWidth="1"/>
    <col min="13816" max="13816" width="6.7109375" style="65" customWidth="1"/>
    <col min="13817" max="13817" width="9" style="65" customWidth="1"/>
    <col min="13818" max="13818" width="9.140625" style="65" customWidth="1"/>
    <col min="13819" max="13819" width="22.85546875" style="65" customWidth="1"/>
    <col min="13820" max="13820" width="4.85546875" style="65" customWidth="1"/>
    <col min="13821" max="13821" width="22.5703125" style="65" customWidth="1"/>
    <col min="13822" max="13822" width="7" style="65" customWidth="1"/>
    <col min="13823" max="13823" width="4.85546875" style="65" customWidth="1"/>
    <col min="13824" max="13824" width="5.140625" style="65" bestFit="1" customWidth="1"/>
    <col min="13825" max="13825" width="8.42578125" style="65" customWidth="1"/>
    <col min="13826" max="13826" width="9.5703125" style="65" customWidth="1"/>
    <col min="13827" max="14065" width="9.140625" style="65"/>
    <col min="14066" max="14066" width="4.85546875" style="65" bestFit="1" customWidth="1"/>
    <col min="14067" max="14067" width="23.7109375" style="65" customWidth="1"/>
    <col min="14068" max="14068" width="4.28515625" style="65" bestFit="1" customWidth="1"/>
    <col min="14069" max="14069" width="5.42578125" style="65" bestFit="1" customWidth="1"/>
    <col min="14070" max="14070" width="6.85546875" style="65" customWidth="1"/>
    <col min="14071" max="14071" width="6.42578125" style="65" customWidth="1"/>
    <col min="14072" max="14072" width="6.7109375" style="65" customWidth="1"/>
    <col min="14073" max="14073" width="9" style="65" customWidth="1"/>
    <col min="14074" max="14074" width="9.140625" style="65" customWidth="1"/>
    <col min="14075" max="14075" width="22.85546875" style="65" customWidth="1"/>
    <col min="14076" max="14076" width="4.85546875" style="65" customWidth="1"/>
    <col min="14077" max="14077" width="22.5703125" style="65" customWidth="1"/>
    <col min="14078" max="14078" width="7" style="65" customWidth="1"/>
    <col min="14079" max="14079" width="4.85546875" style="65" customWidth="1"/>
    <col min="14080" max="14080" width="5.140625" style="65" bestFit="1" customWidth="1"/>
    <col min="14081" max="14081" width="8.42578125" style="65" customWidth="1"/>
    <col min="14082" max="14082" width="9.5703125" style="65" customWidth="1"/>
    <col min="14083" max="14321" width="9.140625" style="65"/>
    <col min="14322" max="14322" width="4.85546875" style="65" bestFit="1" customWidth="1"/>
    <col min="14323" max="14323" width="23.7109375" style="65" customWidth="1"/>
    <col min="14324" max="14324" width="4.28515625" style="65" bestFit="1" customWidth="1"/>
    <col min="14325" max="14325" width="5.42578125" style="65" bestFit="1" customWidth="1"/>
    <col min="14326" max="14326" width="6.85546875" style="65" customWidth="1"/>
    <col min="14327" max="14327" width="6.42578125" style="65" customWidth="1"/>
    <col min="14328" max="14328" width="6.7109375" style="65" customWidth="1"/>
    <col min="14329" max="14329" width="9" style="65" customWidth="1"/>
    <col min="14330" max="14330" width="9.140625" style="65" customWidth="1"/>
    <col min="14331" max="14331" width="22.85546875" style="65" customWidth="1"/>
    <col min="14332" max="14332" width="4.85546875" style="65" customWidth="1"/>
    <col min="14333" max="14333" width="22.5703125" style="65" customWidth="1"/>
    <col min="14334" max="14334" width="7" style="65" customWidth="1"/>
    <col min="14335" max="14335" width="4.85546875" style="65" customWidth="1"/>
    <col min="14336" max="14336" width="5.140625" style="65" bestFit="1" customWidth="1"/>
    <col min="14337" max="14337" width="8.42578125" style="65" customWidth="1"/>
    <col min="14338" max="14338" width="9.5703125" style="65" customWidth="1"/>
    <col min="14339" max="14577" width="9.140625" style="65"/>
    <col min="14578" max="14578" width="4.85546875" style="65" bestFit="1" customWidth="1"/>
    <col min="14579" max="14579" width="23.7109375" style="65" customWidth="1"/>
    <col min="14580" max="14580" width="4.28515625" style="65" bestFit="1" customWidth="1"/>
    <col min="14581" max="14581" width="5.42578125" style="65" bestFit="1" customWidth="1"/>
    <col min="14582" max="14582" width="6.85546875" style="65" customWidth="1"/>
    <col min="14583" max="14583" width="6.42578125" style="65" customWidth="1"/>
    <col min="14584" max="14584" width="6.7109375" style="65" customWidth="1"/>
    <col min="14585" max="14585" width="9" style="65" customWidth="1"/>
    <col min="14586" max="14586" width="9.140625" style="65" customWidth="1"/>
    <col min="14587" max="14587" width="22.85546875" style="65" customWidth="1"/>
    <col min="14588" max="14588" width="4.85546875" style="65" customWidth="1"/>
    <col min="14589" max="14589" width="22.5703125" style="65" customWidth="1"/>
    <col min="14590" max="14590" width="7" style="65" customWidth="1"/>
    <col min="14591" max="14591" width="4.85546875" style="65" customWidth="1"/>
    <col min="14592" max="14592" width="5.140625" style="65" bestFit="1" customWidth="1"/>
    <col min="14593" max="14593" width="8.42578125" style="65" customWidth="1"/>
    <col min="14594" max="14594" width="9.5703125" style="65" customWidth="1"/>
    <col min="14595" max="14833" width="9.140625" style="65"/>
    <col min="14834" max="14834" width="4.85546875" style="65" bestFit="1" customWidth="1"/>
    <col min="14835" max="14835" width="23.7109375" style="65" customWidth="1"/>
    <col min="14836" max="14836" width="4.28515625" style="65" bestFit="1" customWidth="1"/>
    <col min="14837" max="14837" width="5.42578125" style="65" bestFit="1" customWidth="1"/>
    <col min="14838" max="14838" width="6.85546875" style="65" customWidth="1"/>
    <col min="14839" max="14839" width="6.42578125" style="65" customWidth="1"/>
    <col min="14840" max="14840" width="6.7109375" style="65" customWidth="1"/>
    <col min="14841" max="14841" width="9" style="65" customWidth="1"/>
    <col min="14842" max="14842" width="9.140625" style="65" customWidth="1"/>
    <col min="14843" max="14843" width="22.85546875" style="65" customWidth="1"/>
    <col min="14844" max="14844" width="4.85546875" style="65" customWidth="1"/>
    <col min="14845" max="14845" width="22.5703125" style="65" customWidth="1"/>
    <col min="14846" max="14846" width="7" style="65" customWidth="1"/>
    <col min="14847" max="14847" width="4.85546875" style="65" customWidth="1"/>
    <col min="14848" max="14848" width="5.140625" style="65" bestFit="1" customWidth="1"/>
    <col min="14849" max="14849" width="8.42578125" style="65" customWidth="1"/>
    <col min="14850" max="14850" width="9.5703125" style="65" customWidth="1"/>
    <col min="14851" max="15089" width="9.140625" style="65"/>
    <col min="15090" max="15090" width="4.85546875" style="65" bestFit="1" customWidth="1"/>
    <col min="15091" max="15091" width="23.7109375" style="65" customWidth="1"/>
    <col min="15092" max="15092" width="4.28515625" style="65" bestFit="1" customWidth="1"/>
    <col min="15093" max="15093" width="5.42578125" style="65" bestFit="1" customWidth="1"/>
    <col min="15094" max="15094" width="6.85546875" style="65" customWidth="1"/>
    <col min="15095" max="15095" width="6.42578125" style="65" customWidth="1"/>
    <col min="15096" max="15096" width="6.7109375" style="65" customWidth="1"/>
    <col min="15097" max="15097" width="9" style="65" customWidth="1"/>
    <col min="15098" max="15098" width="9.140625" style="65" customWidth="1"/>
    <col min="15099" max="15099" width="22.85546875" style="65" customWidth="1"/>
    <col min="15100" max="15100" width="4.85546875" style="65" customWidth="1"/>
    <col min="15101" max="15101" width="22.5703125" style="65" customWidth="1"/>
    <col min="15102" max="15102" width="7" style="65" customWidth="1"/>
    <col min="15103" max="15103" width="4.85546875" style="65" customWidth="1"/>
    <col min="15104" max="15104" width="5.140625" style="65" bestFit="1" customWidth="1"/>
    <col min="15105" max="15105" width="8.42578125" style="65" customWidth="1"/>
    <col min="15106" max="15106" width="9.5703125" style="65" customWidth="1"/>
    <col min="15107" max="15345" width="9.140625" style="65"/>
    <col min="15346" max="15346" width="4.85546875" style="65" bestFit="1" customWidth="1"/>
    <col min="15347" max="15347" width="23.7109375" style="65" customWidth="1"/>
    <col min="15348" max="15348" width="4.28515625" style="65" bestFit="1" customWidth="1"/>
    <col min="15349" max="15349" width="5.42578125" style="65" bestFit="1" customWidth="1"/>
    <col min="15350" max="15350" width="6.85546875" style="65" customWidth="1"/>
    <col min="15351" max="15351" width="6.42578125" style="65" customWidth="1"/>
    <col min="15352" max="15352" width="6.7109375" style="65" customWidth="1"/>
    <col min="15353" max="15353" width="9" style="65" customWidth="1"/>
    <col min="15354" max="15354" width="9.140625" style="65" customWidth="1"/>
    <col min="15355" max="15355" width="22.85546875" style="65" customWidth="1"/>
    <col min="15356" max="15356" width="4.85546875" style="65" customWidth="1"/>
    <col min="15357" max="15357" width="22.5703125" style="65" customWidth="1"/>
    <col min="15358" max="15358" width="7" style="65" customWidth="1"/>
    <col min="15359" max="15359" width="4.85546875" style="65" customWidth="1"/>
    <col min="15360" max="15360" width="5.140625" style="65" bestFit="1" customWidth="1"/>
    <col min="15361" max="15361" width="8.42578125" style="65" customWidth="1"/>
    <col min="15362" max="15362" width="9.5703125" style="65" customWidth="1"/>
    <col min="15363" max="15601" width="9.140625" style="65"/>
    <col min="15602" max="15602" width="4.85546875" style="65" bestFit="1" customWidth="1"/>
    <col min="15603" max="15603" width="23.7109375" style="65" customWidth="1"/>
    <col min="15604" max="15604" width="4.28515625" style="65" bestFit="1" customWidth="1"/>
    <col min="15605" max="15605" width="5.42578125" style="65" bestFit="1" customWidth="1"/>
    <col min="15606" max="15606" width="6.85546875" style="65" customWidth="1"/>
    <col min="15607" max="15607" width="6.42578125" style="65" customWidth="1"/>
    <col min="15608" max="15608" width="6.7109375" style="65" customWidth="1"/>
    <col min="15609" max="15609" width="9" style="65" customWidth="1"/>
    <col min="15610" max="15610" width="9.140625" style="65" customWidth="1"/>
    <col min="15611" max="15611" width="22.85546875" style="65" customWidth="1"/>
    <col min="15612" max="15612" width="4.85546875" style="65" customWidth="1"/>
    <col min="15613" max="15613" width="22.5703125" style="65" customWidth="1"/>
    <col min="15614" max="15614" width="7" style="65" customWidth="1"/>
    <col min="15615" max="15615" width="4.85546875" style="65" customWidth="1"/>
    <col min="15616" max="15616" width="5.140625" style="65" bestFit="1" customWidth="1"/>
    <col min="15617" max="15617" width="8.42578125" style="65" customWidth="1"/>
    <col min="15618" max="15618" width="9.5703125" style="65" customWidth="1"/>
    <col min="15619" max="15857" width="9.140625" style="65"/>
    <col min="15858" max="15858" width="4.85546875" style="65" bestFit="1" customWidth="1"/>
    <col min="15859" max="15859" width="23.7109375" style="65" customWidth="1"/>
    <col min="15860" max="15860" width="4.28515625" style="65" bestFit="1" customWidth="1"/>
    <col min="15861" max="15861" width="5.42578125" style="65" bestFit="1" customWidth="1"/>
    <col min="15862" max="15862" width="6.85546875" style="65" customWidth="1"/>
    <col min="15863" max="15863" width="6.42578125" style="65" customWidth="1"/>
    <col min="15864" max="15864" width="6.7109375" style="65" customWidth="1"/>
    <col min="15865" max="15865" width="9" style="65" customWidth="1"/>
    <col min="15866" max="15866" width="9.140625" style="65" customWidth="1"/>
    <col min="15867" max="15867" width="22.85546875" style="65" customWidth="1"/>
    <col min="15868" max="15868" width="4.85546875" style="65" customWidth="1"/>
    <col min="15869" max="15869" width="22.5703125" style="65" customWidth="1"/>
    <col min="15870" max="15870" width="7" style="65" customWidth="1"/>
    <col min="15871" max="15871" width="4.85546875" style="65" customWidth="1"/>
    <col min="15872" max="15872" width="5.140625" style="65" bestFit="1" customWidth="1"/>
    <col min="15873" max="15873" width="8.42578125" style="65" customWidth="1"/>
    <col min="15874" max="15874" width="9.5703125" style="65" customWidth="1"/>
    <col min="15875" max="16113" width="9.140625" style="65"/>
    <col min="16114" max="16114" width="4.85546875" style="65" bestFit="1" customWidth="1"/>
    <col min="16115" max="16115" width="23.7109375" style="65" customWidth="1"/>
    <col min="16116" max="16116" width="4.28515625" style="65" bestFit="1" customWidth="1"/>
    <col min="16117" max="16117" width="5.42578125" style="65" bestFit="1" customWidth="1"/>
    <col min="16118" max="16118" width="6.85546875" style="65" customWidth="1"/>
    <col min="16119" max="16119" width="6.42578125" style="65" customWidth="1"/>
    <col min="16120" max="16120" width="6.7109375" style="65" customWidth="1"/>
    <col min="16121" max="16121" width="9" style="65" customWidth="1"/>
    <col min="16122" max="16122" width="9.140625" style="65" customWidth="1"/>
    <col min="16123" max="16123" width="22.85546875" style="65" customWidth="1"/>
    <col min="16124" max="16124" width="4.85546875" style="65" customWidth="1"/>
    <col min="16125" max="16125" width="22.5703125" style="65" customWidth="1"/>
    <col min="16126" max="16126" width="7" style="65" customWidth="1"/>
    <col min="16127" max="16127" width="4.85546875" style="65" customWidth="1"/>
    <col min="16128" max="16128" width="5.140625" style="65" bestFit="1" customWidth="1"/>
    <col min="16129" max="16129" width="8.42578125" style="65" customWidth="1"/>
    <col min="16130" max="16130" width="9.5703125" style="65" customWidth="1"/>
    <col min="16131" max="16384" width="9.140625" style="65"/>
  </cols>
  <sheetData>
    <row r="1" spans="1:10" s="56" customFormat="1" ht="15.75">
      <c r="A1" s="55" t="s">
        <v>39</v>
      </c>
      <c r="B1" s="55"/>
      <c r="D1" s="57"/>
      <c r="E1" s="58"/>
      <c r="F1" s="59"/>
      <c r="G1" s="60"/>
      <c r="H1" s="57"/>
      <c r="I1" s="57"/>
      <c r="J1" s="61" t="s">
        <v>40</v>
      </c>
    </row>
    <row r="2" spans="1:10" s="56" customFormat="1">
      <c r="A2" s="492" t="s">
        <v>41</v>
      </c>
      <c r="B2" s="492"/>
      <c r="D2" s="57"/>
      <c r="E2" s="58"/>
      <c r="F2" s="60"/>
      <c r="G2" s="60"/>
      <c r="H2" s="57"/>
      <c r="I2" s="62" t="s">
        <v>42</v>
      </c>
      <c r="J2" s="63">
        <v>40816</v>
      </c>
    </row>
    <row r="3" spans="1:10" ht="13.5" thickBot="1"/>
    <row r="4" spans="1:10" s="64" customFormat="1" ht="13.5">
      <c r="A4" s="493" t="s">
        <v>0</v>
      </c>
      <c r="B4" s="495" t="s">
        <v>43</v>
      </c>
      <c r="C4" s="497" t="s">
        <v>44</v>
      </c>
      <c r="D4" s="499" t="s">
        <v>45</v>
      </c>
      <c r="E4" s="501" t="s">
        <v>46</v>
      </c>
      <c r="F4" s="501"/>
      <c r="G4" s="501" t="s">
        <v>47</v>
      </c>
      <c r="H4" s="506" t="s">
        <v>48</v>
      </c>
      <c r="I4" s="507"/>
      <c r="J4" s="484" t="s">
        <v>49</v>
      </c>
    </row>
    <row r="5" spans="1:10" s="64" customFormat="1" ht="27">
      <c r="A5" s="494"/>
      <c r="B5" s="496"/>
      <c r="C5" s="498"/>
      <c r="D5" s="500"/>
      <c r="E5" s="70" t="s">
        <v>50</v>
      </c>
      <c r="F5" s="70" t="s">
        <v>51</v>
      </c>
      <c r="G5" s="502"/>
      <c r="H5" s="71" t="s">
        <v>52</v>
      </c>
      <c r="I5" s="71" t="s">
        <v>53</v>
      </c>
      <c r="J5" s="485"/>
    </row>
    <row r="6" spans="1:10" s="64" customFormat="1">
      <c r="A6" s="72">
        <v>1</v>
      </c>
      <c r="B6" s="73">
        <v>2</v>
      </c>
      <c r="C6" s="73">
        <v>3</v>
      </c>
      <c r="D6" s="73">
        <v>4</v>
      </c>
      <c r="E6" s="73">
        <v>5</v>
      </c>
      <c r="F6" s="73">
        <v>6</v>
      </c>
      <c r="G6" s="73">
        <v>7</v>
      </c>
      <c r="H6" s="73">
        <v>8</v>
      </c>
      <c r="I6" s="73">
        <v>9</v>
      </c>
      <c r="J6" s="74">
        <v>10</v>
      </c>
    </row>
    <row r="7" spans="1:10" s="64" customFormat="1" ht="15">
      <c r="A7" s="75"/>
      <c r="B7" s="76" t="s">
        <v>54</v>
      </c>
      <c r="C7" s="77"/>
      <c r="D7" s="77"/>
      <c r="E7" s="77"/>
      <c r="F7" s="77"/>
      <c r="G7" s="77"/>
      <c r="H7" s="78">
        <f>H8*11</f>
        <v>937.1999999999997</v>
      </c>
      <c r="I7" s="78">
        <f>I8*11</f>
        <v>1478.4</v>
      </c>
      <c r="J7" s="79"/>
    </row>
    <row r="8" spans="1:10" s="64" customFormat="1" ht="13.5" collapsed="1">
      <c r="A8" s="80"/>
      <c r="B8" s="81" t="s">
        <v>55</v>
      </c>
      <c r="C8" s="81"/>
      <c r="D8" s="82"/>
      <c r="E8" s="83"/>
      <c r="F8" s="83"/>
      <c r="G8" s="84"/>
      <c r="H8" s="85">
        <f>SUBTOTAL(9,H9:H56)</f>
        <v>85.199999999999974</v>
      </c>
      <c r="I8" s="85">
        <f>SUBTOTAL(9,I9:I56)</f>
        <v>134.4</v>
      </c>
      <c r="J8" s="86"/>
    </row>
    <row r="9" spans="1:10" s="95" customFormat="1" hidden="1" outlineLevel="1">
      <c r="A9" s="87">
        <v>1</v>
      </c>
      <c r="B9" s="88" t="s">
        <v>56</v>
      </c>
      <c r="C9" s="88"/>
      <c r="D9" s="89"/>
      <c r="E9" s="90"/>
      <c r="F9" s="91"/>
      <c r="G9" s="92"/>
      <c r="H9" s="93"/>
      <c r="I9" s="93"/>
      <c r="J9" s="94"/>
    </row>
    <row r="10" spans="1:10" s="105" customFormat="1" ht="15" hidden="1" outlineLevel="1">
      <c r="A10" s="96"/>
      <c r="B10" s="97" t="s">
        <v>57</v>
      </c>
      <c r="C10" s="98" t="s">
        <v>58</v>
      </c>
      <c r="D10" s="99">
        <v>2</v>
      </c>
      <c r="E10" s="100">
        <v>1.73</v>
      </c>
      <c r="F10" s="101"/>
      <c r="G10" s="102"/>
      <c r="H10" s="103">
        <f>+IF(C10="a",E10*D10," ")</f>
        <v>3.46</v>
      </c>
      <c r="I10" s="103" t="str">
        <f>+IF(C10="b",E10*D10," ")</f>
        <v/>
      </c>
      <c r="J10" s="104"/>
    </row>
    <row r="11" spans="1:10" s="105" customFormat="1" ht="15" hidden="1" outlineLevel="1">
      <c r="A11" s="96"/>
      <c r="B11" s="97" t="s">
        <v>59</v>
      </c>
      <c r="C11" s="106" t="s">
        <v>60</v>
      </c>
      <c r="D11" s="99">
        <v>3</v>
      </c>
      <c r="E11" s="100">
        <v>2.4</v>
      </c>
      <c r="F11" s="101"/>
      <c r="G11" s="102"/>
      <c r="H11" s="103" t="str">
        <f>+IF(C11="a",E11*D11," ")</f>
        <v/>
      </c>
      <c r="I11" s="103">
        <f>+IF(C11="b",E11*D11," ")</f>
        <v>7.1999999999999993</v>
      </c>
      <c r="J11" s="104"/>
    </row>
    <row r="12" spans="1:10" s="105" customFormat="1" hidden="1" outlineLevel="1">
      <c r="A12" s="87">
        <v>2</v>
      </c>
      <c r="B12" s="88" t="s">
        <v>61</v>
      </c>
      <c r="C12" s="88"/>
      <c r="D12" s="89"/>
      <c r="E12" s="107"/>
      <c r="F12" s="91"/>
      <c r="G12" s="92"/>
      <c r="H12" s="93"/>
      <c r="I12" s="93"/>
      <c r="J12" s="94"/>
    </row>
    <row r="13" spans="1:10" s="105" customFormat="1" ht="15" hidden="1" outlineLevel="1">
      <c r="A13" s="96"/>
      <c r="B13" s="97" t="s">
        <v>62</v>
      </c>
      <c r="C13" s="106" t="s">
        <v>58</v>
      </c>
      <c r="D13" s="99">
        <v>2</v>
      </c>
      <c r="E13" s="100">
        <v>1.73</v>
      </c>
      <c r="F13" s="101"/>
      <c r="G13" s="102"/>
      <c r="H13" s="103">
        <f>+IF(C13="a",E13*D13," ")</f>
        <v>3.46</v>
      </c>
      <c r="I13" s="103" t="str">
        <f>+IF(C13="b",E13*D13," ")</f>
        <v/>
      </c>
      <c r="J13" s="104"/>
    </row>
    <row r="14" spans="1:10" s="105" customFormat="1" ht="15" hidden="1" outlineLevel="1">
      <c r="A14" s="96"/>
      <c r="B14" s="97" t="s">
        <v>59</v>
      </c>
      <c r="C14" s="106" t="s">
        <v>60</v>
      </c>
      <c r="D14" s="99">
        <v>3</v>
      </c>
      <c r="E14" s="100">
        <v>2.4</v>
      </c>
      <c r="F14" s="101"/>
      <c r="G14" s="102"/>
      <c r="H14" s="103" t="str">
        <f>+IF(C14="a",E14*D14," ")</f>
        <v/>
      </c>
      <c r="I14" s="103">
        <f>+IF(C14="b",E14*D14," ")</f>
        <v>7.1999999999999993</v>
      </c>
      <c r="J14" s="104"/>
    </row>
    <row r="15" spans="1:10" s="105" customFormat="1" hidden="1" outlineLevel="1">
      <c r="A15" s="87">
        <v>3</v>
      </c>
      <c r="B15" s="88" t="s">
        <v>63</v>
      </c>
      <c r="C15" s="88"/>
      <c r="D15" s="89"/>
      <c r="E15" s="107"/>
      <c r="F15" s="91"/>
      <c r="G15" s="92"/>
      <c r="H15" s="93"/>
      <c r="I15" s="93"/>
      <c r="J15" s="94"/>
    </row>
    <row r="16" spans="1:10" s="105" customFormat="1" ht="15" hidden="1" outlineLevel="1">
      <c r="A16" s="96"/>
      <c r="B16" s="97" t="s">
        <v>62</v>
      </c>
      <c r="C16" s="106" t="s">
        <v>58</v>
      </c>
      <c r="D16" s="99">
        <v>2</v>
      </c>
      <c r="E16" s="100">
        <v>1.73</v>
      </c>
      <c r="F16" s="108"/>
      <c r="G16" s="102"/>
      <c r="H16" s="103">
        <f>+IF(C16="a",E16*D16," ")</f>
        <v>3.46</v>
      </c>
      <c r="I16" s="103" t="str">
        <f>+IF(C16="b",E16*D16," ")</f>
        <v/>
      </c>
      <c r="J16" s="104"/>
    </row>
    <row r="17" spans="1:12" s="105" customFormat="1" ht="16.5" hidden="1" outlineLevel="1">
      <c r="A17" s="96"/>
      <c r="B17" s="97" t="s">
        <v>59</v>
      </c>
      <c r="C17" s="106" t="s">
        <v>60</v>
      </c>
      <c r="D17" s="99">
        <v>3</v>
      </c>
      <c r="E17" s="100">
        <v>2.4</v>
      </c>
      <c r="F17" s="101"/>
      <c r="G17" s="102"/>
      <c r="H17" s="103" t="str">
        <f>+IF(C17="a",E17*D17," ")</f>
        <v/>
      </c>
      <c r="I17" s="103">
        <f>+IF(C17="b",E17*D17," ")</f>
        <v>7.1999999999999993</v>
      </c>
      <c r="J17" s="104"/>
      <c r="K17" s="188"/>
      <c r="L17" s="189"/>
    </row>
    <row r="18" spans="1:12" s="105" customFormat="1" hidden="1" outlineLevel="1">
      <c r="A18" s="87">
        <v>4</v>
      </c>
      <c r="B18" s="88" t="s">
        <v>64</v>
      </c>
      <c r="C18" s="88"/>
      <c r="D18" s="89"/>
      <c r="E18" s="107"/>
      <c r="F18" s="91"/>
      <c r="G18" s="92"/>
      <c r="H18" s="93"/>
      <c r="I18" s="93"/>
      <c r="J18" s="94"/>
    </row>
    <row r="19" spans="1:12" s="105" customFormat="1" ht="15" hidden="1" outlineLevel="1">
      <c r="A19" s="96"/>
      <c r="B19" s="97" t="s">
        <v>62</v>
      </c>
      <c r="C19" s="106" t="s">
        <v>58</v>
      </c>
      <c r="D19" s="99">
        <v>2</v>
      </c>
      <c r="E19" s="100">
        <v>1.73</v>
      </c>
      <c r="F19" s="101"/>
      <c r="G19" s="102"/>
      <c r="H19" s="103">
        <f>+IF(C19="a",E19*D19," ")</f>
        <v>3.46</v>
      </c>
      <c r="I19" s="103" t="str">
        <f>+IF(C19="b",E19*D19," ")</f>
        <v/>
      </c>
      <c r="J19" s="104"/>
    </row>
    <row r="20" spans="1:12" s="105" customFormat="1" ht="15" hidden="1" outlineLevel="1">
      <c r="A20" s="96"/>
      <c r="B20" s="97" t="s">
        <v>59</v>
      </c>
      <c r="C20" s="106" t="s">
        <v>60</v>
      </c>
      <c r="D20" s="99">
        <v>3</v>
      </c>
      <c r="E20" s="100">
        <v>2.4</v>
      </c>
      <c r="F20" s="101"/>
      <c r="G20" s="102"/>
      <c r="H20" s="103" t="str">
        <f>+IF(C20="a",E20*D20," ")</f>
        <v/>
      </c>
      <c r="I20" s="103">
        <f>+IF(C20="b",E20*D20," ")</f>
        <v>7.1999999999999993</v>
      </c>
      <c r="J20" s="104"/>
    </row>
    <row r="21" spans="1:12" s="105" customFormat="1" hidden="1" outlineLevel="1">
      <c r="A21" s="87">
        <v>5</v>
      </c>
      <c r="B21" s="88" t="s">
        <v>65</v>
      </c>
      <c r="C21" s="88"/>
      <c r="D21" s="89"/>
      <c r="E21" s="107"/>
      <c r="F21" s="91"/>
      <c r="G21" s="92"/>
      <c r="H21" s="93"/>
      <c r="I21" s="93"/>
      <c r="J21" s="94"/>
    </row>
    <row r="22" spans="1:12" s="105" customFormat="1" ht="15" hidden="1" outlineLevel="1">
      <c r="A22" s="96"/>
      <c r="B22" s="97" t="s">
        <v>66</v>
      </c>
      <c r="C22" s="106" t="s">
        <v>58</v>
      </c>
      <c r="D22" s="99">
        <v>2</v>
      </c>
      <c r="E22" s="100">
        <v>2</v>
      </c>
      <c r="F22" s="101"/>
      <c r="G22" s="102"/>
      <c r="H22" s="103">
        <f>+IF(C22="a",E22*D22," ")</f>
        <v>4</v>
      </c>
      <c r="I22" s="103" t="str">
        <f>+IF(C22="b",E22*D22," ")</f>
        <v/>
      </c>
      <c r="J22" s="104"/>
    </row>
    <row r="23" spans="1:12" s="105" customFormat="1" ht="15" hidden="1" outlineLevel="1">
      <c r="A23" s="96"/>
      <c r="B23" s="97"/>
      <c r="C23" s="106" t="s">
        <v>60</v>
      </c>
      <c r="D23" s="99"/>
      <c r="E23" s="100"/>
      <c r="F23" s="101"/>
      <c r="G23" s="102"/>
      <c r="H23" s="103" t="str">
        <f>+IF(C23="a",E23*D23," ")</f>
        <v/>
      </c>
      <c r="I23" s="103">
        <f>+IF(C23="b",E23*D23," ")</f>
        <v>0</v>
      </c>
      <c r="J23" s="104"/>
    </row>
    <row r="24" spans="1:12" s="105" customFormat="1" hidden="1" outlineLevel="1">
      <c r="A24" s="87">
        <v>6</v>
      </c>
      <c r="B24" s="88" t="s">
        <v>67</v>
      </c>
      <c r="C24" s="88"/>
      <c r="D24" s="89"/>
      <c r="E24" s="107"/>
      <c r="F24" s="91"/>
      <c r="G24" s="92"/>
      <c r="H24" s="93"/>
      <c r="I24" s="93"/>
      <c r="J24" s="94"/>
    </row>
    <row r="25" spans="1:12" s="105" customFormat="1" ht="15" hidden="1" outlineLevel="1">
      <c r="A25" s="96"/>
      <c r="B25" s="97" t="s">
        <v>62</v>
      </c>
      <c r="C25" s="106" t="s">
        <v>58</v>
      </c>
      <c r="D25" s="99">
        <v>2</v>
      </c>
      <c r="E25" s="100">
        <v>1.73</v>
      </c>
      <c r="F25" s="101"/>
      <c r="G25" s="102"/>
      <c r="H25" s="103">
        <f>+IF(C25="a",E25*D25," ")</f>
        <v>3.46</v>
      </c>
      <c r="I25" s="103" t="str">
        <f>+IF(C25="b",E25*D25," ")</f>
        <v/>
      </c>
      <c r="J25" s="104"/>
    </row>
    <row r="26" spans="1:12" s="105" customFormat="1" ht="15" hidden="1" outlineLevel="1">
      <c r="A26" s="96"/>
      <c r="B26" s="97" t="s">
        <v>59</v>
      </c>
      <c r="C26" s="106" t="s">
        <v>60</v>
      </c>
      <c r="D26" s="99">
        <v>2</v>
      </c>
      <c r="E26" s="100">
        <v>2.4</v>
      </c>
      <c r="F26" s="101"/>
      <c r="G26" s="102"/>
      <c r="H26" s="103" t="str">
        <f>+IF(C26="a",E26*D26," ")</f>
        <v/>
      </c>
      <c r="I26" s="103">
        <f>+IF(C26="b",E26*D26," ")</f>
        <v>4.8</v>
      </c>
      <c r="J26" s="104"/>
    </row>
    <row r="27" spans="1:12" s="105" customFormat="1" hidden="1" outlineLevel="1">
      <c r="A27" s="87">
        <v>7</v>
      </c>
      <c r="B27" s="88" t="s">
        <v>68</v>
      </c>
      <c r="C27" s="88"/>
      <c r="D27" s="89"/>
      <c r="E27" s="107"/>
      <c r="F27" s="91"/>
      <c r="G27" s="92"/>
      <c r="H27" s="93"/>
      <c r="I27" s="93"/>
      <c r="J27" s="94"/>
    </row>
    <row r="28" spans="1:12" s="105" customFormat="1" ht="15" hidden="1" outlineLevel="1">
      <c r="A28" s="96"/>
      <c r="B28" s="97" t="s">
        <v>62</v>
      </c>
      <c r="C28" s="106" t="s">
        <v>58</v>
      </c>
      <c r="D28" s="99">
        <v>2</v>
      </c>
      <c r="E28" s="100">
        <v>1.73</v>
      </c>
      <c r="F28" s="108"/>
      <c r="G28" s="102"/>
      <c r="H28" s="103">
        <f>+IF(C28="a",E28*D28," ")</f>
        <v>3.46</v>
      </c>
      <c r="I28" s="103" t="str">
        <f>+IF(C28="b",E28*D28," ")</f>
        <v/>
      </c>
      <c r="J28" s="104"/>
    </row>
    <row r="29" spans="1:12" s="105" customFormat="1" ht="15" hidden="1" outlineLevel="1">
      <c r="A29" s="96"/>
      <c r="B29" s="97" t="s">
        <v>59</v>
      </c>
      <c r="C29" s="106" t="s">
        <v>60</v>
      </c>
      <c r="D29" s="99">
        <v>3</v>
      </c>
      <c r="E29" s="100">
        <v>2.4</v>
      </c>
      <c r="F29" s="108"/>
      <c r="G29" s="102"/>
      <c r="H29" s="103" t="str">
        <f>+IF(C29="a",E29*D29," ")</f>
        <v/>
      </c>
      <c r="I29" s="103">
        <f>+IF(C29="b",E29*D29," ")</f>
        <v>7.1999999999999993</v>
      </c>
      <c r="J29" s="104"/>
    </row>
    <row r="30" spans="1:12" s="105" customFormat="1" hidden="1" outlineLevel="1">
      <c r="A30" s="87">
        <v>8</v>
      </c>
      <c r="B30" s="88" t="s">
        <v>69</v>
      </c>
      <c r="C30" s="88"/>
      <c r="D30" s="89"/>
      <c r="E30" s="107"/>
      <c r="F30" s="91"/>
      <c r="G30" s="92"/>
      <c r="H30" s="93"/>
      <c r="I30" s="93"/>
      <c r="J30" s="94"/>
    </row>
    <row r="31" spans="1:12" s="105" customFormat="1" ht="15" hidden="1" outlineLevel="1">
      <c r="A31" s="96"/>
      <c r="B31" s="97" t="s">
        <v>62</v>
      </c>
      <c r="C31" s="106" t="s">
        <v>58</v>
      </c>
      <c r="D31" s="99">
        <v>2</v>
      </c>
      <c r="E31" s="100">
        <v>1.73</v>
      </c>
      <c r="F31" s="108"/>
      <c r="G31" s="102"/>
      <c r="H31" s="103">
        <f>+IF(C31="a",E31*D31," ")</f>
        <v>3.46</v>
      </c>
      <c r="I31" s="103" t="str">
        <f>+IF(C31="b",E31*D31," ")</f>
        <v/>
      </c>
      <c r="J31" s="104"/>
    </row>
    <row r="32" spans="1:12" s="105" customFormat="1" ht="15" hidden="1" outlineLevel="1">
      <c r="A32" s="96"/>
      <c r="B32" s="97" t="s">
        <v>59</v>
      </c>
      <c r="C32" s="106" t="s">
        <v>60</v>
      </c>
      <c r="D32" s="99">
        <v>3</v>
      </c>
      <c r="E32" s="100">
        <v>2.4</v>
      </c>
      <c r="F32" s="108"/>
      <c r="G32" s="102"/>
      <c r="H32" s="103" t="str">
        <f>+IF(C32="a",E32*D32," ")</f>
        <v/>
      </c>
      <c r="I32" s="103">
        <f>+IF(C32="b",E32*D32," ")</f>
        <v>7.1999999999999993</v>
      </c>
      <c r="J32" s="104"/>
    </row>
    <row r="33" spans="1:10" s="105" customFormat="1" hidden="1" outlineLevel="1">
      <c r="A33" s="87">
        <v>9</v>
      </c>
      <c r="B33" s="88" t="s">
        <v>70</v>
      </c>
      <c r="C33" s="88"/>
      <c r="D33" s="89"/>
      <c r="E33" s="107"/>
      <c r="F33" s="91"/>
      <c r="G33" s="92"/>
      <c r="H33" s="93"/>
      <c r="I33" s="93"/>
      <c r="J33" s="94"/>
    </row>
    <row r="34" spans="1:10" s="105" customFormat="1" ht="15" hidden="1" outlineLevel="1">
      <c r="A34" s="96"/>
      <c r="B34" s="97" t="s">
        <v>66</v>
      </c>
      <c r="C34" s="106" t="s">
        <v>58</v>
      </c>
      <c r="D34" s="99">
        <v>2</v>
      </c>
      <c r="E34" s="100">
        <v>2</v>
      </c>
      <c r="F34" s="108"/>
      <c r="G34" s="102"/>
      <c r="H34" s="103">
        <f>+IF(C34="a",E34*D34," ")</f>
        <v>4</v>
      </c>
      <c r="I34" s="103" t="str">
        <f>+IF(C34="b",E34*D34," ")</f>
        <v/>
      </c>
      <c r="J34" s="104"/>
    </row>
    <row r="35" spans="1:10" s="105" customFormat="1" ht="15" hidden="1" outlineLevel="1">
      <c r="A35" s="96"/>
      <c r="B35" s="97"/>
      <c r="C35" s="106" t="s">
        <v>60</v>
      </c>
      <c r="D35" s="99"/>
      <c r="E35" s="100"/>
      <c r="F35" s="108"/>
      <c r="G35" s="102"/>
      <c r="H35" s="103" t="str">
        <f>+IF(C35="a",E35*D35," ")</f>
        <v/>
      </c>
      <c r="I35" s="103">
        <f>+IF(C35="b",E35*D35," ")</f>
        <v>0</v>
      </c>
      <c r="J35" s="104"/>
    </row>
    <row r="36" spans="1:10" s="105" customFormat="1" hidden="1" outlineLevel="1">
      <c r="A36" s="87">
        <v>10</v>
      </c>
      <c r="B36" s="88" t="s">
        <v>71</v>
      </c>
      <c r="C36" s="88"/>
      <c r="D36" s="89"/>
      <c r="E36" s="107"/>
      <c r="F36" s="91"/>
      <c r="G36" s="92"/>
      <c r="H36" s="93"/>
      <c r="I36" s="93"/>
      <c r="J36" s="94"/>
    </row>
    <row r="37" spans="1:10" s="105" customFormat="1" ht="15" hidden="1" outlineLevel="1">
      <c r="A37" s="96"/>
      <c r="B37" s="97" t="s">
        <v>62</v>
      </c>
      <c r="C37" s="106" t="s">
        <v>58</v>
      </c>
      <c r="D37" s="99">
        <v>2</v>
      </c>
      <c r="E37" s="100">
        <v>1.73</v>
      </c>
      <c r="F37" s="108"/>
      <c r="G37" s="102"/>
      <c r="H37" s="103">
        <f>+IF(C37="a",E37*D37," ")</f>
        <v>3.46</v>
      </c>
      <c r="I37" s="103" t="str">
        <f>+IF(C37="b",E37*D37," ")</f>
        <v/>
      </c>
      <c r="J37" s="104"/>
    </row>
    <row r="38" spans="1:10" s="105" customFormat="1" ht="15" hidden="1" outlineLevel="1">
      <c r="A38" s="96"/>
      <c r="B38" s="97" t="s">
        <v>59</v>
      </c>
      <c r="C38" s="106" t="s">
        <v>60</v>
      </c>
      <c r="D38" s="99">
        <v>2</v>
      </c>
      <c r="E38" s="100">
        <v>2.4</v>
      </c>
      <c r="F38" s="108"/>
      <c r="G38" s="102"/>
      <c r="H38" s="103" t="str">
        <f>+IF(C38="a",E38*D38," ")</f>
        <v/>
      </c>
      <c r="I38" s="103">
        <f>+IF(C38="b",E38*D38," ")</f>
        <v>4.8</v>
      </c>
      <c r="J38" s="104"/>
    </row>
    <row r="39" spans="1:10" s="105" customFormat="1" hidden="1" outlineLevel="1">
      <c r="A39" s="87">
        <v>11</v>
      </c>
      <c r="B39" s="88" t="s">
        <v>72</v>
      </c>
      <c r="C39" s="88"/>
      <c r="D39" s="89"/>
      <c r="E39" s="107"/>
      <c r="F39" s="91"/>
      <c r="G39" s="92"/>
      <c r="H39" s="93"/>
      <c r="I39" s="93"/>
      <c r="J39" s="94"/>
    </row>
    <row r="40" spans="1:10" s="105" customFormat="1" ht="15" hidden="1" outlineLevel="1">
      <c r="A40" s="96"/>
      <c r="B40" s="97" t="s">
        <v>62</v>
      </c>
      <c r="C40" s="106" t="s">
        <v>58</v>
      </c>
      <c r="D40" s="99">
        <v>2</v>
      </c>
      <c r="E40" s="100">
        <v>1.73</v>
      </c>
      <c r="F40" s="108"/>
      <c r="G40" s="102"/>
      <c r="H40" s="103">
        <f>+IF(C40="a",E40*D40," ")</f>
        <v>3.46</v>
      </c>
      <c r="I40" s="103" t="str">
        <f>+IF(C40="b",E40*D40," ")</f>
        <v/>
      </c>
      <c r="J40" s="104"/>
    </row>
    <row r="41" spans="1:10" s="105" customFormat="1" ht="15" hidden="1" outlineLevel="1">
      <c r="A41" s="96"/>
      <c r="B41" s="97" t="s">
        <v>59</v>
      </c>
      <c r="C41" s="106" t="s">
        <v>60</v>
      </c>
      <c r="D41" s="99">
        <v>3</v>
      </c>
      <c r="E41" s="100">
        <v>2.4</v>
      </c>
      <c r="F41" s="108"/>
      <c r="G41" s="102"/>
      <c r="H41" s="103" t="str">
        <f>+IF(C41="a",E41*D41," ")</f>
        <v/>
      </c>
      <c r="I41" s="103">
        <f>+IF(C41="b",E41*D41," ")</f>
        <v>7.1999999999999993</v>
      </c>
      <c r="J41" s="104"/>
    </row>
    <row r="42" spans="1:10" s="105" customFormat="1" hidden="1" outlineLevel="1">
      <c r="A42" s="87">
        <v>12</v>
      </c>
      <c r="B42" s="88" t="s">
        <v>73</v>
      </c>
      <c r="C42" s="88"/>
      <c r="D42" s="89"/>
      <c r="E42" s="107"/>
      <c r="F42" s="91"/>
      <c r="G42" s="92"/>
      <c r="H42" s="93"/>
      <c r="I42" s="93"/>
      <c r="J42" s="94"/>
    </row>
    <row r="43" spans="1:10" s="105" customFormat="1" ht="15" hidden="1" outlineLevel="1">
      <c r="A43" s="109"/>
      <c r="B43" s="97" t="s">
        <v>62</v>
      </c>
      <c r="C43" s="110" t="s">
        <v>58</v>
      </c>
      <c r="D43" s="99">
        <v>2</v>
      </c>
      <c r="E43" s="100">
        <v>1.73</v>
      </c>
      <c r="F43" s="111"/>
      <c r="G43" s="112"/>
      <c r="H43" s="113">
        <f>+IF(C43="a",E43*D43," ")</f>
        <v>3.46</v>
      </c>
      <c r="I43" s="113" t="str">
        <f>+IF(C43="b",E43*D43," ")</f>
        <v/>
      </c>
      <c r="J43" s="114"/>
    </row>
    <row r="44" spans="1:10" s="105" customFormat="1" ht="15" hidden="1" outlineLevel="1">
      <c r="A44" s="109"/>
      <c r="B44" s="97" t="s">
        <v>59</v>
      </c>
      <c r="C44" s="110" t="s">
        <v>60</v>
      </c>
      <c r="D44" s="99">
        <v>3</v>
      </c>
      <c r="E44" s="100">
        <v>2.4</v>
      </c>
      <c r="F44" s="111"/>
      <c r="G44" s="112"/>
      <c r="H44" s="113" t="str">
        <f>+IF(C44="a",E44*D44," ")</f>
        <v/>
      </c>
      <c r="I44" s="113">
        <f>+IF(C44="b",E44*D44," ")</f>
        <v>7.1999999999999993</v>
      </c>
      <c r="J44" s="114"/>
    </row>
    <row r="45" spans="1:10" s="105" customFormat="1">
      <c r="A45" s="115">
        <v>13</v>
      </c>
      <c r="B45" s="116" t="s">
        <v>74</v>
      </c>
      <c r="C45" s="116"/>
      <c r="D45" s="117"/>
      <c r="E45" s="118"/>
      <c r="F45" s="119"/>
      <c r="G45" s="120"/>
      <c r="H45" s="121">
        <f>H10</f>
        <v>3.46</v>
      </c>
      <c r="I45" s="121">
        <f>I11</f>
        <v>7.1999999999999993</v>
      </c>
      <c r="J45" s="122" t="s">
        <v>75</v>
      </c>
    </row>
    <row r="46" spans="1:10" s="105" customFormat="1" collapsed="1">
      <c r="A46" s="115">
        <v>14</v>
      </c>
      <c r="B46" s="116" t="s">
        <v>76</v>
      </c>
      <c r="C46" s="116"/>
      <c r="D46" s="119"/>
      <c r="E46" s="118"/>
      <c r="F46" s="119"/>
      <c r="G46" s="119"/>
      <c r="H46" s="123">
        <f>H13</f>
        <v>3.46</v>
      </c>
      <c r="I46" s="123">
        <f>I14</f>
        <v>7.1999999999999993</v>
      </c>
      <c r="J46" s="122" t="s">
        <v>77</v>
      </c>
    </row>
    <row r="47" spans="1:10" s="105" customFormat="1" collapsed="1">
      <c r="A47" s="115">
        <v>15</v>
      </c>
      <c r="B47" s="116" t="s">
        <v>78</v>
      </c>
      <c r="C47" s="116"/>
      <c r="D47" s="117"/>
      <c r="E47" s="118"/>
      <c r="F47" s="119"/>
      <c r="G47" s="120"/>
      <c r="H47" s="123">
        <f>H16</f>
        <v>3.46</v>
      </c>
      <c r="I47" s="123">
        <f>I17</f>
        <v>7.1999999999999993</v>
      </c>
      <c r="J47" s="122" t="s">
        <v>79</v>
      </c>
    </row>
    <row r="48" spans="1:10" s="105" customFormat="1" collapsed="1">
      <c r="A48" s="115">
        <v>16</v>
      </c>
      <c r="B48" s="116" t="s">
        <v>80</v>
      </c>
      <c r="C48" s="116"/>
      <c r="D48" s="117"/>
      <c r="E48" s="118"/>
      <c r="F48" s="119"/>
      <c r="G48" s="120"/>
      <c r="H48" s="121">
        <f>H19</f>
        <v>3.46</v>
      </c>
      <c r="I48" s="121">
        <f>I20</f>
        <v>7.1999999999999993</v>
      </c>
      <c r="J48" s="122" t="s">
        <v>81</v>
      </c>
    </row>
    <row r="49" spans="1:10" s="105" customFormat="1" collapsed="1">
      <c r="A49" s="115">
        <v>17</v>
      </c>
      <c r="B49" s="116" t="s">
        <v>82</v>
      </c>
      <c r="C49" s="116"/>
      <c r="D49" s="116"/>
      <c r="E49" s="116"/>
      <c r="F49" s="116"/>
      <c r="G49" s="116"/>
      <c r="H49" s="124">
        <f>H22</f>
        <v>4</v>
      </c>
      <c r="I49" s="124">
        <f>I23</f>
        <v>0</v>
      </c>
      <c r="J49" s="122" t="s">
        <v>83</v>
      </c>
    </row>
    <row r="50" spans="1:10" s="105" customFormat="1" collapsed="1">
      <c r="A50" s="115">
        <v>18</v>
      </c>
      <c r="B50" s="116" t="s">
        <v>84</v>
      </c>
      <c r="C50" s="116"/>
      <c r="D50" s="116"/>
      <c r="E50" s="116"/>
      <c r="F50" s="116"/>
      <c r="G50" s="116"/>
      <c r="H50" s="125">
        <f>H25</f>
        <v>3.46</v>
      </c>
      <c r="I50" s="125">
        <f>I26</f>
        <v>4.8</v>
      </c>
      <c r="J50" s="122" t="s">
        <v>85</v>
      </c>
    </row>
    <row r="51" spans="1:10" s="105" customFormat="1" collapsed="1">
      <c r="A51" s="115">
        <v>19</v>
      </c>
      <c r="B51" s="116" t="s">
        <v>86</v>
      </c>
      <c r="C51" s="116"/>
      <c r="D51" s="126"/>
      <c r="E51" s="127"/>
      <c r="F51" s="128"/>
      <c r="G51" s="129"/>
      <c r="H51" s="125">
        <f>H28</f>
        <v>3.46</v>
      </c>
      <c r="I51" s="125">
        <f>I29</f>
        <v>7.1999999999999993</v>
      </c>
      <c r="J51" s="122" t="s">
        <v>87</v>
      </c>
    </row>
    <row r="52" spans="1:10" s="105" customFormat="1" collapsed="1">
      <c r="A52" s="115">
        <v>20</v>
      </c>
      <c r="B52" s="116" t="s">
        <v>88</v>
      </c>
      <c r="C52" s="130"/>
      <c r="D52" s="126"/>
      <c r="E52" s="127"/>
      <c r="F52" s="128"/>
      <c r="G52" s="129"/>
      <c r="H52" s="125">
        <f>H31</f>
        <v>3.46</v>
      </c>
      <c r="I52" s="125">
        <f>I32</f>
        <v>7.1999999999999993</v>
      </c>
      <c r="J52" s="122" t="s">
        <v>89</v>
      </c>
    </row>
    <row r="53" spans="1:10" s="105" customFormat="1" collapsed="1">
      <c r="A53" s="115">
        <v>21</v>
      </c>
      <c r="B53" s="116" t="s">
        <v>90</v>
      </c>
      <c r="C53" s="130"/>
      <c r="D53" s="126"/>
      <c r="E53" s="127"/>
      <c r="F53" s="128"/>
      <c r="G53" s="129"/>
      <c r="H53" s="125">
        <f>H34</f>
        <v>4</v>
      </c>
      <c r="I53" s="125">
        <f>I35</f>
        <v>0</v>
      </c>
      <c r="J53" s="122" t="s">
        <v>91</v>
      </c>
    </row>
    <row r="54" spans="1:10" s="105" customFormat="1" collapsed="1">
      <c r="A54" s="115">
        <v>22</v>
      </c>
      <c r="B54" s="116" t="s">
        <v>92</v>
      </c>
      <c r="C54" s="130"/>
      <c r="D54" s="126"/>
      <c r="E54" s="127"/>
      <c r="F54" s="128"/>
      <c r="G54" s="129"/>
      <c r="H54" s="125">
        <f>H37</f>
        <v>3.46</v>
      </c>
      <c r="I54" s="125">
        <f>I38</f>
        <v>4.8</v>
      </c>
      <c r="J54" s="122" t="s">
        <v>93</v>
      </c>
    </row>
    <row r="55" spans="1:10" s="105" customFormat="1" collapsed="1">
      <c r="A55" s="115">
        <v>23</v>
      </c>
      <c r="B55" s="116" t="s">
        <v>94</v>
      </c>
      <c r="C55" s="130"/>
      <c r="D55" s="126"/>
      <c r="E55" s="127"/>
      <c r="F55" s="128"/>
      <c r="G55" s="129"/>
      <c r="H55" s="125">
        <f>H40</f>
        <v>3.46</v>
      </c>
      <c r="I55" s="125">
        <f>I41</f>
        <v>7.1999999999999993</v>
      </c>
      <c r="J55" s="122" t="s">
        <v>95</v>
      </c>
    </row>
    <row r="56" spans="1:10" s="105" customFormat="1" ht="13.5" collapsed="1" thickBot="1">
      <c r="A56" s="131">
        <v>24</v>
      </c>
      <c r="B56" s="132" t="s">
        <v>96</v>
      </c>
      <c r="C56" s="133"/>
      <c r="D56" s="134"/>
      <c r="E56" s="135"/>
      <c r="F56" s="136"/>
      <c r="G56" s="137"/>
      <c r="H56" s="138">
        <f>H43</f>
        <v>3.46</v>
      </c>
      <c r="I56" s="138">
        <f>I44</f>
        <v>7.1999999999999993</v>
      </c>
      <c r="J56" s="139" t="s">
        <v>97</v>
      </c>
    </row>
    <row r="57" spans="1:10" s="56" customFormat="1" ht="15.75">
      <c r="A57" s="55" t="s">
        <v>39</v>
      </c>
      <c r="B57" s="55"/>
      <c r="D57" s="57"/>
      <c r="E57" s="58"/>
      <c r="F57" s="59"/>
      <c r="G57" s="60"/>
      <c r="H57" s="57"/>
      <c r="I57" s="57"/>
      <c r="J57" s="61" t="s">
        <v>112</v>
      </c>
    </row>
    <row r="58" spans="1:10" s="56" customFormat="1">
      <c r="A58" s="492" t="s">
        <v>113</v>
      </c>
      <c r="B58" s="492"/>
      <c r="D58" s="57"/>
      <c r="E58" s="58"/>
      <c r="F58" s="60"/>
      <c r="G58" s="60"/>
      <c r="H58" s="57"/>
      <c r="I58" s="62" t="s">
        <v>42</v>
      </c>
      <c r="J58" s="63">
        <v>40816</v>
      </c>
    </row>
    <row r="59" spans="1:10" ht="7.5" customHeight="1" thickBot="1"/>
    <row r="60" spans="1:10" s="64" customFormat="1" ht="13.5" customHeight="1">
      <c r="A60" s="493" t="s">
        <v>0</v>
      </c>
      <c r="B60" s="495" t="s">
        <v>43</v>
      </c>
      <c r="C60" s="497" t="s">
        <v>44</v>
      </c>
      <c r="D60" s="499" t="s">
        <v>45</v>
      </c>
      <c r="E60" s="501" t="s">
        <v>46</v>
      </c>
      <c r="F60" s="501"/>
      <c r="G60" s="501" t="s">
        <v>47</v>
      </c>
      <c r="H60" s="506" t="s">
        <v>48</v>
      </c>
      <c r="I60" s="507"/>
      <c r="J60" s="484" t="s">
        <v>49</v>
      </c>
    </row>
    <row r="61" spans="1:10" s="64" customFormat="1" ht="32.25" customHeight="1">
      <c r="A61" s="494"/>
      <c r="B61" s="496"/>
      <c r="C61" s="498"/>
      <c r="D61" s="500"/>
      <c r="E61" s="70" t="s">
        <v>50</v>
      </c>
      <c r="F61" s="70" t="s">
        <v>51</v>
      </c>
      <c r="G61" s="502"/>
      <c r="H61" s="71" t="s">
        <v>114</v>
      </c>
      <c r="I61" s="71" t="s">
        <v>115</v>
      </c>
      <c r="J61" s="485"/>
    </row>
    <row r="62" spans="1:10" s="64" customFormat="1">
      <c r="A62" s="72">
        <v>1</v>
      </c>
      <c r="B62" s="73">
        <v>2</v>
      </c>
      <c r="C62" s="73">
        <v>3</v>
      </c>
      <c r="D62" s="73">
        <v>4</v>
      </c>
      <c r="E62" s="73">
        <v>5</v>
      </c>
      <c r="F62" s="73">
        <v>6</v>
      </c>
      <c r="G62" s="73">
        <v>7</v>
      </c>
      <c r="H62" s="73">
        <v>8</v>
      </c>
      <c r="I62" s="73">
        <v>9</v>
      </c>
      <c r="J62" s="74">
        <v>10</v>
      </c>
    </row>
    <row r="63" spans="1:10" s="64" customFormat="1" ht="15">
      <c r="A63" s="75"/>
      <c r="B63" s="76" t="s">
        <v>327</v>
      </c>
      <c r="C63" s="77"/>
      <c r="D63" s="77">
        <v>20</v>
      </c>
      <c r="E63" s="77"/>
      <c r="F63" s="77"/>
      <c r="G63" s="77"/>
      <c r="H63" s="78">
        <f>H64*D63</f>
        <v>6152</v>
      </c>
      <c r="I63" s="78"/>
      <c r="J63" s="79"/>
    </row>
    <row r="64" spans="1:10" s="64" customFormat="1" ht="14.25" customHeight="1" collapsed="1">
      <c r="A64" s="80"/>
      <c r="B64" s="81" t="s">
        <v>116</v>
      </c>
      <c r="C64" s="81"/>
      <c r="D64" s="82"/>
      <c r="E64" s="83"/>
      <c r="F64" s="83"/>
      <c r="G64" s="84"/>
      <c r="H64" s="85">
        <f>SUBTOTAL(9,H65:H100)</f>
        <v>307.60000000000002</v>
      </c>
      <c r="I64" s="85"/>
      <c r="J64" s="86"/>
    </row>
    <row r="65" spans="1:10" s="95" customFormat="1" hidden="1" outlineLevel="1">
      <c r="A65" s="87">
        <v>1</v>
      </c>
      <c r="B65" s="88" t="s">
        <v>117</v>
      </c>
      <c r="C65" s="88"/>
      <c r="D65" s="89"/>
      <c r="E65" s="90"/>
      <c r="F65" s="91"/>
      <c r="G65" s="92"/>
      <c r="H65" s="93"/>
      <c r="I65" s="93"/>
      <c r="J65" s="94"/>
    </row>
    <row r="66" spans="1:10" s="105" customFormat="1" hidden="1" outlineLevel="1">
      <c r="A66" s="96"/>
      <c r="B66" s="98" t="s">
        <v>118</v>
      </c>
      <c r="C66" s="98" t="s">
        <v>58</v>
      </c>
      <c r="D66" s="99">
        <v>1</v>
      </c>
      <c r="E66" s="192">
        <v>13</v>
      </c>
      <c r="F66" s="101"/>
      <c r="G66" s="102"/>
      <c r="H66" s="103">
        <f>+IF(C66="a",E66*D66," ")</f>
        <v>13</v>
      </c>
      <c r="I66" s="103" t="str">
        <f>+IF(C66="b",E66*D66," ")</f>
        <v/>
      </c>
      <c r="J66" s="104"/>
    </row>
    <row r="67" spans="1:10" s="105" customFormat="1" hidden="1" outlineLevel="1">
      <c r="A67" s="87">
        <v>2</v>
      </c>
      <c r="B67" s="88" t="s">
        <v>119</v>
      </c>
      <c r="C67" s="88"/>
      <c r="D67" s="89"/>
      <c r="E67" s="90"/>
      <c r="F67" s="91"/>
      <c r="G67" s="92"/>
      <c r="H67" s="93"/>
      <c r="I67" s="93"/>
      <c r="J67" s="94"/>
    </row>
    <row r="68" spans="1:10" s="105" customFormat="1" hidden="1" outlineLevel="1">
      <c r="A68" s="96"/>
      <c r="B68" s="98" t="s">
        <v>118</v>
      </c>
      <c r="C68" s="106" t="s">
        <v>58</v>
      </c>
      <c r="D68" s="99">
        <v>1</v>
      </c>
      <c r="E68" s="192">
        <v>13.7</v>
      </c>
      <c r="F68" s="101"/>
      <c r="G68" s="102"/>
      <c r="H68" s="103">
        <f>+IF(C68="a",E68*D68," ")</f>
        <v>13.7</v>
      </c>
      <c r="I68" s="103" t="str">
        <f>+IF(C68="b",E68*D68," ")</f>
        <v/>
      </c>
      <c r="J68" s="104"/>
    </row>
    <row r="69" spans="1:10" s="105" customFormat="1" hidden="1" outlineLevel="1">
      <c r="A69" s="87">
        <v>3</v>
      </c>
      <c r="B69" s="88" t="s">
        <v>120</v>
      </c>
      <c r="C69" s="88"/>
      <c r="D69" s="89"/>
      <c r="E69" s="90"/>
      <c r="F69" s="91"/>
      <c r="G69" s="92"/>
      <c r="H69" s="93"/>
      <c r="I69" s="93"/>
      <c r="J69" s="94"/>
    </row>
    <row r="70" spans="1:10" s="105" customFormat="1" hidden="1" outlineLevel="1">
      <c r="A70" s="96"/>
      <c r="B70" s="98" t="s">
        <v>118</v>
      </c>
      <c r="C70" s="106" t="s">
        <v>58</v>
      </c>
      <c r="D70" s="99">
        <v>1</v>
      </c>
      <c r="E70" s="101">
        <v>9</v>
      </c>
      <c r="F70" s="108"/>
      <c r="G70" s="102"/>
      <c r="H70" s="103">
        <f>+IF(C70="a",E70*D70," ")</f>
        <v>9</v>
      </c>
      <c r="I70" s="103" t="str">
        <f>+IF(C70="b",E70*D70," ")</f>
        <v/>
      </c>
      <c r="J70" s="104"/>
    </row>
    <row r="71" spans="1:10" s="105" customFormat="1" hidden="1" outlineLevel="1">
      <c r="A71" s="87">
        <v>4</v>
      </c>
      <c r="B71" s="88" t="s">
        <v>121</v>
      </c>
      <c r="C71" s="88"/>
      <c r="D71" s="89"/>
      <c r="E71" s="90"/>
      <c r="F71" s="91"/>
      <c r="G71" s="92"/>
      <c r="H71" s="93"/>
      <c r="I71" s="93"/>
      <c r="J71" s="94"/>
    </row>
    <row r="72" spans="1:10" s="105" customFormat="1" hidden="1" outlineLevel="1">
      <c r="A72" s="96"/>
      <c r="B72" s="98" t="s">
        <v>118</v>
      </c>
      <c r="C72" s="106" t="s">
        <v>58</v>
      </c>
      <c r="D72" s="99">
        <v>1</v>
      </c>
      <c r="E72" s="192">
        <v>11.8</v>
      </c>
      <c r="F72" s="101"/>
      <c r="G72" s="102"/>
      <c r="H72" s="103">
        <f>+IF(C72="a",E72*D72," ")</f>
        <v>11.8</v>
      </c>
      <c r="I72" s="103" t="str">
        <f>+IF(C72="b",E72*D72," ")</f>
        <v/>
      </c>
      <c r="J72" s="104"/>
    </row>
    <row r="73" spans="1:10" s="105" customFormat="1" hidden="1" outlineLevel="1">
      <c r="A73" s="87">
        <v>5</v>
      </c>
      <c r="B73" s="88" t="s">
        <v>122</v>
      </c>
      <c r="C73" s="88"/>
      <c r="D73" s="89"/>
      <c r="E73" s="90"/>
      <c r="F73" s="91"/>
      <c r="G73" s="92"/>
      <c r="H73" s="93"/>
      <c r="I73" s="93"/>
      <c r="J73" s="94"/>
    </row>
    <row r="74" spans="1:10" s="105" customFormat="1" hidden="1" outlineLevel="1">
      <c r="A74" s="96"/>
      <c r="B74" s="98" t="s">
        <v>118</v>
      </c>
      <c r="C74" s="106" t="s">
        <v>58</v>
      </c>
      <c r="D74" s="99">
        <v>1</v>
      </c>
      <c r="E74" s="192">
        <v>10.1</v>
      </c>
      <c r="F74" s="101"/>
      <c r="G74" s="102"/>
      <c r="H74" s="103">
        <f>+IF(C74="a",E74*D74," ")</f>
        <v>10.1</v>
      </c>
      <c r="I74" s="103" t="str">
        <f>+IF(C74="b",E74*D74," ")</f>
        <v/>
      </c>
      <c r="J74" s="104"/>
    </row>
    <row r="75" spans="1:10" s="105" customFormat="1" hidden="1" outlineLevel="1">
      <c r="A75" s="87">
        <v>6</v>
      </c>
      <c r="B75" s="88" t="s">
        <v>123</v>
      </c>
      <c r="C75" s="88"/>
      <c r="D75" s="89"/>
      <c r="E75" s="90"/>
      <c r="F75" s="91"/>
      <c r="G75" s="92"/>
      <c r="H75" s="93"/>
      <c r="I75" s="93"/>
      <c r="J75" s="94"/>
    </row>
    <row r="76" spans="1:10" s="105" customFormat="1" hidden="1" outlineLevel="1">
      <c r="A76" s="96"/>
      <c r="B76" s="98" t="s">
        <v>118</v>
      </c>
      <c r="C76" s="106" t="s">
        <v>58</v>
      </c>
      <c r="D76" s="99">
        <v>1</v>
      </c>
      <c r="E76" s="192">
        <v>15.8</v>
      </c>
      <c r="F76" s="101"/>
      <c r="G76" s="102"/>
      <c r="H76" s="103">
        <f>+IF(C76="a",E76*D76," ")</f>
        <v>15.8</v>
      </c>
      <c r="I76" s="103" t="str">
        <f>+IF(C76="b",E76*D76," ")</f>
        <v/>
      </c>
      <c r="J76" s="104"/>
    </row>
    <row r="77" spans="1:10" s="105" customFormat="1" hidden="1" outlineLevel="1">
      <c r="A77" s="87">
        <v>7</v>
      </c>
      <c r="B77" s="88" t="s">
        <v>124</v>
      </c>
      <c r="C77" s="88"/>
      <c r="D77" s="89"/>
      <c r="E77" s="90"/>
      <c r="F77" s="91"/>
      <c r="G77" s="92"/>
      <c r="H77" s="93"/>
      <c r="I77" s="93"/>
      <c r="J77" s="94"/>
    </row>
    <row r="78" spans="1:10" s="105" customFormat="1" hidden="1" outlineLevel="1">
      <c r="A78" s="96"/>
      <c r="B78" s="98" t="s">
        <v>118</v>
      </c>
      <c r="C78" s="106" t="s">
        <v>58</v>
      </c>
      <c r="D78" s="99">
        <v>1</v>
      </c>
      <c r="E78" s="192">
        <v>12.4</v>
      </c>
      <c r="F78" s="108"/>
      <c r="G78" s="102"/>
      <c r="H78" s="103">
        <f>+IF(C78="a",E78*D78," ")</f>
        <v>12.4</v>
      </c>
      <c r="I78" s="103" t="str">
        <f>+IF(C78="b",E78*D78," ")</f>
        <v/>
      </c>
      <c r="J78" s="104"/>
    </row>
    <row r="79" spans="1:10" s="105" customFormat="1" hidden="1" outlineLevel="1">
      <c r="A79" s="87">
        <v>8</v>
      </c>
      <c r="B79" s="88" t="s">
        <v>125</v>
      </c>
      <c r="C79" s="88"/>
      <c r="D79" s="89"/>
      <c r="E79" s="90"/>
      <c r="F79" s="91"/>
      <c r="G79" s="92"/>
      <c r="H79" s="93"/>
      <c r="I79" s="93"/>
      <c r="J79" s="94"/>
    </row>
    <row r="80" spans="1:10" s="105" customFormat="1" hidden="1" outlineLevel="1">
      <c r="A80" s="96"/>
      <c r="B80" s="98" t="s">
        <v>118</v>
      </c>
      <c r="C80" s="106" t="s">
        <v>58</v>
      </c>
      <c r="D80" s="99">
        <v>1</v>
      </c>
      <c r="E80" s="192">
        <v>15</v>
      </c>
      <c r="F80" s="108"/>
      <c r="G80" s="102"/>
      <c r="H80" s="103">
        <f>+IF(C80="a",E80*D80," ")</f>
        <v>15</v>
      </c>
      <c r="I80" s="103" t="str">
        <f>+IF(C80="b",E80*D80," ")</f>
        <v/>
      </c>
      <c r="J80" s="104"/>
    </row>
    <row r="81" spans="1:10" s="105" customFormat="1" hidden="1" outlineLevel="1">
      <c r="A81" s="87">
        <v>9</v>
      </c>
      <c r="B81" s="88" t="s">
        <v>126</v>
      </c>
      <c r="C81" s="88"/>
      <c r="D81" s="89"/>
      <c r="E81" s="90"/>
      <c r="F81" s="91"/>
      <c r="G81" s="92"/>
      <c r="H81" s="93"/>
      <c r="I81" s="93"/>
      <c r="J81" s="94"/>
    </row>
    <row r="82" spans="1:10" s="105" customFormat="1" hidden="1" outlineLevel="1">
      <c r="A82" s="96"/>
      <c r="B82" s="98" t="s">
        <v>118</v>
      </c>
      <c r="C82" s="106" t="s">
        <v>58</v>
      </c>
      <c r="D82" s="99">
        <v>1</v>
      </c>
      <c r="E82" s="192">
        <v>10.199999999999999</v>
      </c>
      <c r="F82" s="108"/>
      <c r="G82" s="102"/>
      <c r="H82" s="103">
        <f>+IF(C82="a",E82*D82," ")</f>
        <v>10.199999999999999</v>
      </c>
      <c r="I82" s="103" t="str">
        <f>+IF(C82="b",E82*D82," ")</f>
        <v/>
      </c>
      <c r="J82" s="104"/>
    </row>
    <row r="83" spans="1:10" s="105" customFormat="1" hidden="1" outlineLevel="1">
      <c r="A83" s="87">
        <v>10</v>
      </c>
      <c r="B83" s="88" t="s">
        <v>127</v>
      </c>
      <c r="C83" s="88"/>
      <c r="D83" s="89"/>
      <c r="E83" s="90"/>
      <c r="F83" s="91"/>
      <c r="G83" s="92"/>
      <c r="H83" s="93"/>
      <c r="I83" s="93"/>
      <c r="J83" s="94"/>
    </row>
    <row r="84" spans="1:10" s="105" customFormat="1" hidden="1" outlineLevel="1">
      <c r="A84" s="96"/>
      <c r="B84" s="98" t="s">
        <v>118</v>
      </c>
      <c r="C84" s="106" t="s">
        <v>58</v>
      </c>
      <c r="D84" s="99">
        <v>1</v>
      </c>
      <c r="E84" s="192">
        <v>11</v>
      </c>
      <c r="F84" s="108"/>
      <c r="G84" s="102"/>
      <c r="H84" s="103">
        <f>+IF(C84="a",E84*D84," ")</f>
        <v>11</v>
      </c>
      <c r="I84" s="103" t="str">
        <f>+IF(C84="b",E84*D84," ")</f>
        <v/>
      </c>
      <c r="J84" s="104"/>
    </row>
    <row r="85" spans="1:10" s="105" customFormat="1" hidden="1" outlineLevel="1">
      <c r="A85" s="87">
        <v>11</v>
      </c>
      <c r="B85" s="88" t="s">
        <v>128</v>
      </c>
      <c r="C85" s="88"/>
      <c r="D85" s="89"/>
      <c r="E85" s="90"/>
      <c r="F85" s="91"/>
      <c r="G85" s="92"/>
      <c r="H85" s="93"/>
      <c r="I85" s="93"/>
      <c r="J85" s="94"/>
    </row>
    <row r="86" spans="1:10" s="105" customFormat="1" hidden="1" outlineLevel="1">
      <c r="A86" s="96"/>
      <c r="B86" s="98" t="s">
        <v>129</v>
      </c>
      <c r="C86" s="106" t="s">
        <v>58</v>
      </c>
      <c r="D86" s="99">
        <v>1</v>
      </c>
      <c r="E86" s="192">
        <v>14.7</v>
      </c>
      <c r="F86" s="108"/>
      <c r="G86" s="102"/>
      <c r="H86" s="103">
        <f>+IF(C86="a",E86*D86," ")</f>
        <v>14.7</v>
      </c>
      <c r="I86" s="103" t="str">
        <f>+IF(C86="b",E86*D86," ")</f>
        <v/>
      </c>
      <c r="J86" s="104"/>
    </row>
    <row r="87" spans="1:10" s="105" customFormat="1" hidden="1" outlineLevel="1">
      <c r="A87" s="87">
        <v>12</v>
      </c>
      <c r="B87" s="88" t="s">
        <v>130</v>
      </c>
      <c r="C87" s="88"/>
      <c r="D87" s="89"/>
      <c r="E87" s="90"/>
      <c r="F87" s="91"/>
      <c r="G87" s="92"/>
      <c r="H87" s="93"/>
      <c r="I87" s="93"/>
      <c r="J87" s="94"/>
    </row>
    <row r="88" spans="1:10" s="105" customFormat="1" hidden="1" outlineLevel="1">
      <c r="A88" s="109"/>
      <c r="B88" s="193" t="s">
        <v>118</v>
      </c>
      <c r="C88" s="110" t="s">
        <v>58</v>
      </c>
      <c r="D88" s="194">
        <v>1</v>
      </c>
      <c r="E88" s="195">
        <v>17.100000000000001</v>
      </c>
      <c r="F88" s="111"/>
      <c r="G88" s="112"/>
      <c r="H88" s="113">
        <f>+IF(C88="a",E88*D88," ")</f>
        <v>17.100000000000001</v>
      </c>
      <c r="I88" s="113" t="str">
        <f>+IF(C88="b",E88*D88," ")</f>
        <v/>
      </c>
      <c r="J88" s="114"/>
    </row>
    <row r="89" spans="1:10" s="105" customFormat="1">
      <c r="A89" s="115">
        <v>13</v>
      </c>
      <c r="B89" s="116" t="s">
        <v>131</v>
      </c>
      <c r="C89" s="116"/>
      <c r="D89" s="117"/>
      <c r="E89" s="118"/>
      <c r="F89" s="119"/>
      <c r="G89" s="120"/>
      <c r="H89" s="121">
        <f>H66</f>
        <v>13</v>
      </c>
      <c r="I89" s="121"/>
      <c r="J89" s="122" t="s">
        <v>132</v>
      </c>
    </row>
    <row r="90" spans="1:10" s="105" customFormat="1" collapsed="1">
      <c r="A90" s="115">
        <v>14</v>
      </c>
      <c r="B90" s="116" t="s">
        <v>133</v>
      </c>
      <c r="C90" s="116"/>
      <c r="D90" s="119"/>
      <c r="E90" s="118"/>
      <c r="F90" s="119"/>
      <c r="G90" s="119"/>
      <c r="H90" s="123">
        <f>H68</f>
        <v>13.7</v>
      </c>
      <c r="I90" s="123"/>
      <c r="J90" s="122" t="s">
        <v>134</v>
      </c>
    </row>
    <row r="91" spans="1:10" s="105" customFormat="1" collapsed="1">
      <c r="A91" s="115">
        <v>15</v>
      </c>
      <c r="B91" s="116" t="s">
        <v>135</v>
      </c>
      <c r="C91" s="116"/>
      <c r="D91" s="117"/>
      <c r="E91" s="118"/>
      <c r="F91" s="119"/>
      <c r="G91" s="120"/>
      <c r="H91" s="123">
        <f>H70</f>
        <v>9</v>
      </c>
      <c r="I91" s="123"/>
      <c r="J91" s="122" t="s">
        <v>136</v>
      </c>
    </row>
    <row r="92" spans="1:10" s="105" customFormat="1" collapsed="1">
      <c r="A92" s="115">
        <v>16</v>
      </c>
      <c r="B92" s="116" t="s">
        <v>137</v>
      </c>
      <c r="C92" s="116"/>
      <c r="D92" s="117"/>
      <c r="E92" s="118"/>
      <c r="F92" s="119"/>
      <c r="G92" s="120"/>
      <c r="H92" s="121">
        <f>H72</f>
        <v>11.8</v>
      </c>
      <c r="I92" s="121"/>
      <c r="J92" s="122" t="s">
        <v>138</v>
      </c>
    </row>
    <row r="93" spans="1:10" s="105" customFormat="1" collapsed="1">
      <c r="A93" s="115">
        <v>17</v>
      </c>
      <c r="B93" s="116" t="s">
        <v>139</v>
      </c>
      <c r="C93" s="116"/>
      <c r="D93" s="116"/>
      <c r="E93" s="116"/>
      <c r="F93" s="116"/>
      <c r="G93" s="116"/>
      <c r="H93" s="124">
        <f>H74</f>
        <v>10.1</v>
      </c>
      <c r="I93" s="124"/>
      <c r="J93" s="122" t="s">
        <v>140</v>
      </c>
    </row>
    <row r="94" spans="1:10" s="105" customFormat="1" collapsed="1">
      <c r="A94" s="115">
        <v>18</v>
      </c>
      <c r="B94" s="116" t="s">
        <v>141</v>
      </c>
      <c r="C94" s="116"/>
      <c r="D94" s="116"/>
      <c r="E94" s="116"/>
      <c r="F94" s="116"/>
      <c r="G94" s="116"/>
      <c r="H94" s="125">
        <f>H76</f>
        <v>15.8</v>
      </c>
      <c r="I94" s="125"/>
      <c r="J94" s="122" t="s">
        <v>142</v>
      </c>
    </row>
    <row r="95" spans="1:10" s="105" customFormat="1" collapsed="1">
      <c r="A95" s="115">
        <v>19</v>
      </c>
      <c r="B95" s="116" t="s">
        <v>143</v>
      </c>
      <c r="C95" s="116"/>
      <c r="D95" s="126"/>
      <c r="E95" s="127"/>
      <c r="F95" s="128"/>
      <c r="G95" s="129"/>
      <c r="H95" s="125">
        <f>H78</f>
        <v>12.4</v>
      </c>
      <c r="I95" s="125"/>
      <c r="J95" s="122" t="s">
        <v>144</v>
      </c>
    </row>
    <row r="96" spans="1:10" s="105" customFormat="1" collapsed="1">
      <c r="A96" s="115">
        <v>20</v>
      </c>
      <c r="B96" s="116" t="s">
        <v>145</v>
      </c>
      <c r="C96" s="130"/>
      <c r="D96" s="126"/>
      <c r="E96" s="127"/>
      <c r="F96" s="128"/>
      <c r="G96" s="129"/>
      <c r="H96" s="125">
        <f>H80</f>
        <v>15</v>
      </c>
      <c r="I96" s="125"/>
      <c r="J96" s="122" t="s">
        <v>146</v>
      </c>
    </row>
    <row r="97" spans="1:10" s="105" customFormat="1" collapsed="1">
      <c r="A97" s="115">
        <v>21</v>
      </c>
      <c r="B97" s="116" t="s">
        <v>147</v>
      </c>
      <c r="C97" s="130"/>
      <c r="D97" s="126"/>
      <c r="E97" s="127"/>
      <c r="F97" s="128"/>
      <c r="G97" s="129"/>
      <c r="H97" s="125">
        <f>H82</f>
        <v>10.199999999999999</v>
      </c>
      <c r="I97" s="125"/>
      <c r="J97" s="122" t="s">
        <v>148</v>
      </c>
    </row>
    <row r="98" spans="1:10" s="105" customFormat="1" collapsed="1">
      <c r="A98" s="115">
        <v>22</v>
      </c>
      <c r="B98" s="116" t="s">
        <v>149</v>
      </c>
      <c r="C98" s="130"/>
      <c r="D98" s="126"/>
      <c r="E98" s="127"/>
      <c r="F98" s="128"/>
      <c r="G98" s="129"/>
      <c r="H98" s="125">
        <f>H84</f>
        <v>11</v>
      </c>
      <c r="I98" s="125"/>
      <c r="J98" s="122" t="s">
        <v>150</v>
      </c>
    </row>
    <row r="99" spans="1:10" s="105" customFormat="1" collapsed="1">
      <c r="A99" s="115">
        <v>23</v>
      </c>
      <c r="B99" s="116" t="s">
        <v>151</v>
      </c>
      <c r="C99" s="130"/>
      <c r="D99" s="126"/>
      <c r="E99" s="127"/>
      <c r="F99" s="128"/>
      <c r="G99" s="129"/>
      <c r="H99" s="125">
        <f>H86</f>
        <v>14.7</v>
      </c>
      <c r="I99" s="125"/>
      <c r="J99" s="122" t="s">
        <v>152</v>
      </c>
    </row>
    <row r="100" spans="1:10" s="105" customFormat="1" ht="13.5" collapsed="1" thickBot="1">
      <c r="A100" s="131">
        <v>24</v>
      </c>
      <c r="B100" s="132" t="s">
        <v>153</v>
      </c>
      <c r="C100" s="133"/>
      <c r="D100" s="134"/>
      <c r="E100" s="135"/>
      <c r="F100" s="136"/>
      <c r="G100" s="137"/>
      <c r="H100" s="138">
        <f>H88</f>
        <v>17.100000000000001</v>
      </c>
      <c r="I100" s="138"/>
      <c r="J100" s="196" t="s">
        <v>154</v>
      </c>
    </row>
    <row r="101" spans="1:10" s="95" customFormat="1" ht="17.25" customHeight="1">
      <c r="A101" s="503" t="s">
        <v>99</v>
      </c>
      <c r="B101" s="503"/>
      <c r="C101" s="503"/>
      <c r="D101" s="503"/>
      <c r="E101" s="503"/>
      <c r="F101" s="503"/>
      <c r="G101" s="503"/>
      <c r="H101" s="503"/>
      <c r="I101" s="146" t="str">
        <f>+IF(C116="b",E116*D116," ")</f>
        <v/>
      </c>
      <c r="J101" s="147"/>
    </row>
    <row r="102" spans="1:10" ht="14.25">
      <c r="A102" s="504" t="s">
        <v>100</v>
      </c>
      <c r="B102" s="504"/>
      <c r="C102" s="504"/>
      <c r="D102" s="504"/>
      <c r="E102" s="504"/>
      <c r="F102" s="504"/>
      <c r="G102" s="504"/>
      <c r="H102" s="504"/>
      <c r="I102" s="149"/>
      <c r="J102" s="150"/>
    </row>
    <row r="103" spans="1:10" ht="13.5" thickBot="1">
      <c r="A103" s="505" t="s">
        <v>101</v>
      </c>
      <c r="B103" s="505"/>
      <c r="C103" s="505"/>
      <c r="D103" s="505"/>
      <c r="E103" s="505"/>
      <c r="F103" s="505"/>
      <c r="G103" s="505"/>
      <c r="H103" s="505"/>
      <c r="J103" s="67"/>
    </row>
    <row r="104" spans="1:10" ht="14.25">
      <c r="A104" s="508" t="s">
        <v>0</v>
      </c>
      <c r="B104" s="510" t="s">
        <v>43</v>
      </c>
      <c r="C104" s="512" t="s">
        <v>44</v>
      </c>
      <c r="D104" s="514" t="s">
        <v>45</v>
      </c>
      <c r="E104" s="516" t="s">
        <v>102</v>
      </c>
      <c r="F104" s="190"/>
      <c r="G104" s="190"/>
      <c r="H104" s="486" t="s">
        <v>103</v>
      </c>
      <c r="I104" s="488" t="s">
        <v>104</v>
      </c>
      <c r="J104" s="490" t="s">
        <v>49</v>
      </c>
    </row>
    <row r="105" spans="1:10" ht="14.25">
      <c r="A105" s="509"/>
      <c r="B105" s="511"/>
      <c r="C105" s="513"/>
      <c r="D105" s="515"/>
      <c r="E105" s="517"/>
      <c r="F105" s="191"/>
      <c r="G105" s="191"/>
      <c r="H105" s="487"/>
      <c r="I105" s="489"/>
      <c r="J105" s="491"/>
    </row>
    <row r="106" spans="1:10">
      <c r="A106" s="72">
        <v>1</v>
      </c>
      <c r="B106" s="73">
        <v>2</v>
      </c>
      <c r="C106" s="73">
        <v>3</v>
      </c>
      <c r="D106" s="73">
        <v>4</v>
      </c>
      <c r="E106" s="73">
        <v>5</v>
      </c>
      <c r="F106" s="73"/>
      <c r="G106" s="73"/>
      <c r="H106" s="73">
        <v>6</v>
      </c>
      <c r="I106" s="73">
        <v>7</v>
      </c>
      <c r="J106" s="74">
        <v>8</v>
      </c>
    </row>
    <row r="107" spans="1:10" ht="14.25">
      <c r="A107" s="154"/>
      <c r="B107" s="155" t="s">
        <v>105</v>
      </c>
      <c r="C107" s="156"/>
      <c r="D107" s="157"/>
      <c r="E107" s="158"/>
      <c r="F107" s="158"/>
      <c r="G107" s="158"/>
      <c r="H107" s="159"/>
      <c r="I107" s="160">
        <f>SUBTOTAL(9,I108:I115)</f>
        <v>2465</v>
      </c>
      <c r="J107" s="161"/>
    </row>
    <row r="108" spans="1:10" ht="16.5">
      <c r="A108" s="162"/>
      <c r="B108" s="163" t="s">
        <v>106</v>
      </c>
      <c r="C108" s="164"/>
      <c r="D108" s="165"/>
      <c r="E108" s="166"/>
      <c r="F108" s="166"/>
      <c r="G108" s="166"/>
      <c r="H108" s="167"/>
      <c r="I108" s="168"/>
      <c r="J108" s="169"/>
    </row>
    <row r="109" spans="1:10" ht="16.5">
      <c r="A109" s="170"/>
      <c r="B109" s="171" t="s">
        <v>107</v>
      </c>
      <c r="C109" s="172"/>
      <c r="D109" s="173">
        <v>34</v>
      </c>
      <c r="E109" s="174">
        <v>1</v>
      </c>
      <c r="F109" s="174"/>
      <c r="G109" s="174"/>
      <c r="H109" s="175">
        <f>E109*D109</f>
        <v>34</v>
      </c>
      <c r="I109" s="176">
        <f t="shared" ref="I109:I115" si="0">H109</f>
        <v>34</v>
      </c>
      <c r="J109" s="177"/>
    </row>
    <row r="110" spans="1:10" ht="16.5">
      <c r="A110" s="170"/>
      <c r="B110" s="171" t="s">
        <v>108</v>
      </c>
      <c r="C110" s="172"/>
      <c r="D110" s="178">
        <v>50</v>
      </c>
      <c r="E110" s="174">
        <v>1</v>
      </c>
      <c r="F110" s="174"/>
      <c r="G110" s="174"/>
      <c r="H110" s="175">
        <f>E110*D110</f>
        <v>50</v>
      </c>
      <c r="I110" s="176">
        <f t="shared" si="0"/>
        <v>50</v>
      </c>
      <c r="J110" s="177"/>
    </row>
    <row r="111" spans="1:10" ht="16.5">
      <c r="A111" s="170"/>
      <c r="B111" s="171" t="s">
        <v>109</v>
      </c>
      <c r="C111" s="172"/>
      <c r="D111" s="178">
        <v>117</v>
      </c>
      <c r="E111" s="174">
        <v>1</v>
      </c>
      <c r="F111" s="174"/>
      <c r="G111" s="174"/>
      <c r="H111" s="175">
        <f>E111*D111</f>
        <v>117</v>
      </c>
      <c r="I111" s="176">
        <f t="shared" si="0"/>
        <v>117</v>
      </c>
      <c r="J111" s="179"/>
    </row>
    <row r="112" spans="1:10" ht="16.5">
      <c r="A112" s="180"/>
      <c r="B112" s="181" t="s">
        <v>110</v>
      </c>
      <c r="C112" s="182"/>
      <c r="D112" s="183">
        <v>120</v>
      </c>
      <c r="E112" s="184">
        <v>1</v>
      </c>
      <c r="F112" s="184"/>
      <c r="G112" s="184"/>
      <c r="H112" s="185">
        <v>120</v>
      </c>
      <c r="I112" s="186">
        <f t="shared" si="0"/>
        <v>120</v>
      </c>
      <c r="J112" s="187"/>
    </row>
    <row r="113" spans="1:10" ht="16.5">
      <c r="A113" s="180"/>
      <c r="B113" s="181" t="s">
        <v>111</v>
      </c>
      <c r="C113" s="182"/>
      <c r="D113" s="183">
        <v>152</v>
      </c>
      <c r="E113" s="184">
        <v>1</v>
      </c>
      <c r="F113" s="184"/>
      <c r="G113" s="184"/>
      <c r="H113" s="185">
        <v>152</v>
      </c>
      <c r="I113" s="186">
        <f t="shared" si="0"/>
        <v>152</v>
      </c>
      <c r="J113" s="187"/>
    </row>
    <row r="114" spans="1:10" ht="16.5">
      <c r="A114" s="180"/>
      <c r="B114" s="181" t="s">
        <v>329</v>
      </c>
      <c r="C114" s="182"/>
      <c r="D114" s="183">
        <v>9</v>
      </c>
      <c r="E114" s="184"/>
      <c r="F114" s="184"/>
      <c r="G114" s="184"/>
      <c r="H114" s="185">
        <f>H112*D114</f>
        <v>1080</v>
      </c>
      <c r="I114" s="186">
        <f t="shared" si="0"/>
        <v>1080</v>
      </c>
      <c r="J114" s="187"/>
    </row>
    <row r="115" spans="1:10" ht="17.25" thickBot="1">
      <c r="A115" s="180"/>
      <c r="B115" s="181" t="s">
        <v>328</v>
      </c>
      <c r="C115" s="182"/>
      <c r="D115" s="183">
        <v>6</v>
      </c>
      <c r="E115" s="184"/>
      <c r="F115" s="184"/>
      <c r="G115" s="184"/>
      <c r="H115" s="185">
        <f>H113*D115</f>
        <v>912</v>
      </c>
      <c r="I115" s="185">
        <f t="shared" si="0"/>
        <v>912</v>
      </c>
      <c r="J115" s="187"/>
    </row>
    <row r="116" spans="1:10">
      <c r="A116" s="140"/>
      <c r="B116" s="141"/>
      <c r="C116" s="141"/>
      <c r="D116" s="142"/>
      <c r="E116" s="143"/>
      <c r="F116" s="143"/>
      <c r="G116" s="144"/>
      <c r="H116" s="145"/>
      <c r="I116" s="145"/>
      <c r="J116" s="145"/>
    </row>
    <row r="117" spans="1:10">
      <c r="J117" s="67"/>
    </row>
    <row r="118" spans="1:10">
      <c r="J118" s="67"/>
    </row>
    <row r="119" spans="1:10">
      <c r="J119" s="67"/>
    </row>
    <row r="120" spans="1:10">
      <c r="J120" s="67"/>
    </row>
    <row r="121" spans="1:10">
      <c r="J121" s="67"/>
    </row>
    <row r="122" spans="1:10">
      <c r="A122" s="65"/>
      <c r="E122" s="65"/>
      <c r="F122" s="65"/>
      <c r="G122" s="65"/>
      <c r="J122" s="67"/>
    </row>
    <row r="123" spans="1:10">
      <c r="A123" s="65"/>
      <c r="E123" s="65"/>
      <c r="F123" s="65"/>
      <c r="G123" s="65"/>
      <c r="J123" s="67"/>
    </row>
    <row r="124" spans="1:10">
      <c r="A124" s="65"/>
      <c r="E124" s="65"/>
      <c r="F124" s="65"/>
      <c r="G124" s="65"/>
      <c r="J124" s="67"/>
    </row>
    <row r="125" spans="1:10">
      <c r="A125" s="65"/>
      <c r="E125" s="65"/>
      <c r="F125" s="65"/>
      <c r="G125" s="65"/>
      <c r="J125" s="67"/>
    </row>
    <row r="126" spans="1:10">
      <c r="A126" s="65"/>
      <c r="E126" s="65"/>
      <c r="F126" s="65"/>
      <c r="G126" s="65"/>
      <c r="J126" s="67"/>
    </row>
    <row r="127" spans="1:10">
      <c r="A127" s="65"/>
      <c r="E127" s="65"/>
      <c r="F127" s="65"/>
      <c r="G127" s="65"/>
      <c r="J127" s="67"/>
    </row>
    <row r="128" spans="1:10">
      <c r="A128" s="65"/>
      <c r="E128" s="65"/>
      <c r="F128" s="65"/>
      <c r="G128" s="65"/>
      <c r="J128" s="67"/>
    </row>
    <row r="129" spans="1:10">
      <c r="A129" s="65"/>
      <c r="E129" s="65"/>
      <c r="F129" s="65"/>
      <c r="G129" s="65"/>
      <c r="J129" s="67"/>
    </row>
    <row r="130" spans="1:10">
      <c r="A130" s="65"/>
      <c r="E130" s="65"/>
      <c r="F130" s="65"/>
      <c r="G130" s="65"/>
      <c r="J130" s="67"/>
    </row>
    <row r="131" spans="1:10">
      <c r="A131" s="65"/>
      <c r="E131" s="65"/>
      <c r="F131" s="65"/>
      <c r="G131" s="65"/>
      <c r="J131" s="67"/>
    </row>
    <row r="132" spans="1:10">
      <c r="A132" s="65"/>
      <c r="E132" s="65"/>
      <c r="F132" s="65"/>
      <c r="G132" s="65"/>
      <c r="J132" s="67"/>
    </row>
    <row r="133" spans="1:10">
      <c r="A133" s="65"/>
      <c r="E133" s="65"/>
      <c r="F133" s="65"/>
      <c r="G133" s="65"/>
      <c r="J133" s="67"/>
    </row>
    <row r="134" spans="1:10">
      <c r="A134" s="65"/>
      <c r="E134" s="65"/>
      <c r="F134" s="65"/>
      <c r="G134" s="65"/>
      <c r="J134" s="67"/>
    </row>
    <row r="135" spans="1:10">
      <c r="A135" s="65"/>
      <c r="E135" s="65"/>
      <c r="F135" s="65"/>
      <c r="G135" s="65"/>
      <c r="J135" s="67"/>
    </row>
    <row r="136" spans="1:10">
      <c r="A136" s="65"/>
      <c r="E136" s="65"/>
      <c r="F136" s="65"/>
      <c r="G136" s="65"/>
      <c r="J136" s="67"/>
    </row>
    <row r="137" spans="1:10">
      <c r="A137" s="65"/>
      <c r="E137" s="65"/>
      <c r="F137" s="65"/>
      <c r="G137" s="65"/>
      <c r="J137" s="67"/>
    </row>
    <row r="138" spans="1:10">
      <c r="A138" s="65"/>
      <c r="E138" s="65"/>
      <c r="F138" s="65"/>
      <c r="G138" s="65"/>
      <c r="J138" s="67"/>
    </row>
    <row r="139" spans="1:10">
      <c r="A139" s="65"/>
      <c r="E139" s="65"/>
      <c r="F139" s="65"/>
      <c r="G139" s="65"/>
      <c r="J139" s="67"/>
    </row>
    <row r="140" spans="1:10">
      <c r="A140" s="65"/>
      <c r="E140" s="65"/>
      <c r="F140" s="65"/>
      <c r="G140" s="65"/>
      <c r="J140" s="67"/>
    </row>
    <row r="141" spans="1:10">
      <c r="A141" s="65"/>
      <c r="E141" s="65"/>
      <c r="F141" s="65"/>
      <c r="G141" s="65"/>
      <c r="J141" s="67"/>
    </row>
    <row r="142" spans="1:10">
      <c r="A142" s="65"/>
      <c r="E142" s="65"/>
      <c r="F142" s="65"/>
      <c r="G142" s="65"/>
      <c r="J142" s="67"/>
    </row>
    <row r="143" spans="1:10">
      <c r="A143" s="65"/>
      <c r="E143" s="65"/>
      <c r="F143" s="65"/>
      <c r="G143" s="65"/>
      <c r="J143" s="67"/>
    </row>
    <row r="144" spans="1:10">
      <c r="A144" s="65"/>
      <c r="E144" s="65"/>
      <c r="F144" s="65"/>
      <c r="G144" s="65"/>
      <c r="J144" s="67"/>
    </row>
    <row r="145" spans="1:10">
      <c r="A145" s="65"/>
      <c r="E145" s="65"/>
      <c r="F145" s="65"/>
      <c r="G145" s="65"/>
      <c r="J145" s="67"/>
    </row>
    <row r="146" spans="1:10">
      <c r="A146" s="65"/>
      <c r="E146" s="65"/>
      <c r="F146" s="65"/>
      <c r="G146" s="65"/>
      <c r="J146" s="67"/>
    </row>
    <row r="147" spans="1:10">
      <c r="A147" s="65"/>
      <c r="E147" s="65"/>
      <c r="F147" s="65"/>
      <c r="G147" s="65"/>
      <c r="J147" s="67"/>
    </row>
    <row r="148" spans="1:10">
      <c r="A148" s="65"/>
      <c r="E148" s="65"/>
      <c r="F148" s="65"/>
      <c r="G148" s="65"/>
      <c r="J148" s="67"/>
    </row>
    <row r="149" spans="1:10">
      <c r="A149" s="65"/>
      <c r="E149" s="65"/>
      <c r="F149" s="65"/>
      <c r="G149" s="65"/>
      <c r="J149" s="67"/>
    </row>
    <row r="150" spans="1:10">
      <c r="A150" s="65"/>
      <c r="E150" s="65"/>
      <c r="F150" s="65"/>
      <c r="G150" s="65"/>
      <c r="J150" s="67"/>
    </row>
    <row r="151" spans="1:10">
      <c r="A151" s="65"/>
      <c r="E151" s="65"/>
      <c r="F151" s="65"/>
      <c r="G151" s="65"/>
      <c r="J151" s="67"/>
    </row>
    <row r="152" spans="1:10">
      <c r="A152" s="65"/>
      <c r="E152" s="65"/>
      <c r="F152" s="65"/>
      <c r="G152" s="65"/>
      <c r="J152" s="67"/>
    </row>
    <row r="153" spans="1:10">
      <c r="A153" s="65"/>
      <c r="E153" s="65"/>
      <c r="F153" s="65"/>
      <c r="G153" s="65"/>
      <c r="J153" s="67"/>
    </row>
    <row r="154" spans="1:10">
      <c r="A154" s="65"/>
      <c r="E154" s="65"/>
      <c r="F154" s="65"/>
      <c r="G154" s="65"/>
      <c r="J154" s="67"/>
    </row>
    <row r="155" spans="1:10">
      <c r="A155" s="65"/>
      <c r="E155" s="65"/>
      <c r="F155" s="65"/>
      <c r="G155" s="65"/>
      <c r="J155" s="67"/>
    </row>
    <row r="156" spans="1:10">
      <c r="A156" s="65"/>
      <c r="E156" s="65"/>
      <c r="F156" s="65"/>
      <c r="G156" s="65"/>
      <c r="J156" s="67"/>
    </row>
    <row r="157" spans="1:10">
      <c r="A157" s="65"/>
      <c r="E157" s="65"/>
      <c r="F157" s="65"/>
      <c r="G157" s="65"/>
      <c r="J157" s="67"/>
    </row>
    <row r="158" spans="1:10">
      <c r="A158" s="65"/>
      <c r="E158" s="65"/>
      <c r="F158" s="65"/>
      <c r="G158" s="65"/>
      <c r="J158" s="67"/>
    </row>
    <row r="159" spans="1:10">
      <c r="A159" s="65"/>
      <c r="E159" s="65"/>
      <c r="F159" s="65"/>
      <c r="G159" s="65"/>
      <c r="J159" s="67"/>
    </row>
    <row r="160" spans="1:10">
      <c r="A160" s="65"/>
      <c r="E160" s="65"/>
      <c r="F160" s="65"/>
      <c r="G160" s="65"/>
      <c r="J160" s="67"/>
    </row>
    <row r="161" spans="1:10">
      <c r="A161" s="65"/>
      <c r="E161" s="65"/>
      <c r="F161" s="65"/>
      <c r="G161" s="65"/>
      <c r="J161" s="67"/>
    </row>
    <row r="162" spans="1:10">
      <c r="A162" s="65"/>
      <c r="E162" s="65"/>
      <c r="F162" s="65"/>
      <c r="G162" s="65"/>
      <c r="J162" s="67"/>
    </row>
    <row r="163" spans="1:10">
      <c r="A163" s="65"/>
      <c r="E163" s="65"/>
      <c r="F163" s="65"/>
      <c r="G163" s="65"/>
      <c r="J163" s="67"/>
    </row>
    <row r="164" spans="1:10">
      <c r="A164" s="65"/>
      <c r="E164" s="65"/>
      <c r="F164" s="65"/>
      <c r="G164" s="65"/>
      <c r="J164" s="67"/>
    </row>
    <row r="165" spans="1:10">
      <c r="A165" s="65"/>
      <c r="E165" s="65"/>
      <c r="F165" s="65"/>
      <c r="G165" s="65"/>
      <c r="J165" s="67"/>
    </row>
    <row r="166" spans="1:10">
      <c r="A166" s="65"/>
      <c r="E166" s="65"/>
      <c r="F166" s="65"/>
      <c r="G166" s="65"/>
      <c r="J166" s="67"/>
    </row>
    <row r="167" spans="1:10">
      <c r="A167" s="65"/>
      <c r="E167" s="65"/>
      <c r="F167" s="65"/>
      <c r="G167" s="65"/>
      <c r="J167" s="67"/>
    </row>
    <row r="168" spans="1:10">
      <c r="A168" s="65"/>
      <c r="E168" s="65"/>
      <c r="F168" s="65"/>
      <c r="G168" s="65"/>
      <c r="J168" s="67"/>
    </row>
    <row r="169" spans="1:10">
      <c r="A169" s="65"/>
      <c r="E169" s="65"/>
      <c r="F169" s="65"/>
      <c r="G169" s="65"/>
      <c r="J169" s="67"/>
    </row>
    <row r="170" spans="1:10">
      <c r="A170" s="65"/>
      <c r="E170" s="65"/>
      <c r="F170" s="65"/>
      <c r="G170" s="65"/>
      <c r="J170" s="67"/>
    </row>
    <row r="171" spans="1:10">
      <c r="A171" s="65"/>
      <c r="E171" s="65"/>
      <c r="F171" s="65"/>
      <c r="G171" s="65"/>
      <c r="J171" s="67"/>
    </row>
    <row r="172" spans="1:10">
      <c r="A172" s="65"/>
      <c r="E172" s="65"/>
      <c r="F172" s="65"/>
      <c r="G172" s="65"/>
      <c r="J172" s="67"/>
    </row>
    <row r="173" spans="1:10">
      <c r="A173" s="65"/>
      <c r="E173" s="65"/>
      <c r="F173" s="65"/>
      <c r="G173" s="65"/>
      <c r="J173" s="67"/>
    </row>
    <row r="174" spans="1:10">
      <c r="A174" s="65"/>
      <c r="E174" s="65"/>
      <c r="F174" s="65"/>
      <c r="G174" s="65"/>
      <c r="J174" s="67"/>
    </row>
    <row r="175" spans="1:10">
      <c r="A175" s="65"/>
      <c r="E175" s="65"/>
      <c r="F175" s="65"/>
      <c r="G175" s="65"/>
      <c r="J175" s="67"/>
    </row>
    <row r="176" spans="1:10">
      <c r="A176" s="65"/>
      <c r="E176" s="65"/>
      <c r="F176" s="65"/>
      <c r="G176" s="65"/>
      <c r="J176" s="67"/>
    </row>
    <row r="177" spans="1:10">
      <c r="A177" s="65"/>
      <c r="E177" s="65"/>
      <c r="F177" s="65"/>
      <c r="G177" s="65"/>
      <c r="J177" s="67"/>
    </row>
    <row r="178" spans="1:10">
      <c r="A178" s="65"/>
      <c r="E178" s="65"/>
      <c r="F178" s="65"/>
      <c r="G178" s="65"/>
      <c r="J178" s="67"/>
    </row>
    <row r="179" spans="1:10">
      <c r="A179" s="65"/>
      <c r="E179" s="65"/>
      <c r="F179" s="65"/>
      <c r="G179" s="65"/>
      <c r="J179" s="67"/>
    </row>
    <row r="180" spans="1:10">
      <c r="A180" s="65"/>
      <c r="E180" s="65"/>
      <c r="F180" s="65"/>
      <c r="G180" s="65"/>
      <c r="J180" s="67"/>
    </row>
    <row r="181" spans="1:10">
      <c r="A181" s="65"/>
      <c r="E181" s="65"/>
      <c r="F181" s="65"/>
      <c r="G181" s="65"/>
      <c r="J181" s="67"/>
    </row>
    <row r="182" spans="1:10">
      <c r="A182" s="65"/>
      <c r="E182" s="65"/>
      <c r="F182" s="65"/>
      <c r="G182" s="65"/>
      <c r="J182" s="67"/>
    </row>
    <row r="183" spans="1:10">
      <c r="A183" s="65"/>
      <c r="E183" s="65"/>
      <c r="F183" s="65"/>
      <c r="G183" s="65"/>
      <c r="J183" s="67"/>
    </row>
    <row r="184" spans="1:10">
      <c r="A184" s="65"/>
      <c r="E184" s="65"/>
      <c r="F184" s="65"/>
      <c r="G184" s="65"/>
      <c r="J184" s="67"/>
    </row>
    <row r="185" spans="1:10">
      <c r="A185" s="65"/>
      <c r="E185" s="65"/>
      <c r="F185" s="65"/>
      <c r="G185" s="65"/>
      <c r="J185" s="67"/>
    </row>
    <row r="186" spans="1:10">
      <c r="A186" s="65"/>
      <c r="E186" s="65"/>
      <c r="F186" s="65"/>
      <c r="G186" s="65"/>
      <c r="J186" s="67"/>
    </row>
    <row r="187" spans="1:10">
      <c r="A187" s="65"/>
      <c r="E187" s="65"/>
      <c r="F187" s="65"/>
      <c r="G187" s="65"/>
      <c r="J187" s="67"/>
    </row>
    <row r="188" spans="1:10">
      <c r="A188" s="65"/>
      <c r="E188" s="65"/>
      <c r="F188" s="65"/>
      <c r="G188" s="65"/>
      <c r="J188" s="67"/>
    </row>
    <row r="189" spans="1:10">
      <c r="A189" s="65"/>
      <c r="E189" s="65"/>
      <c r="F189" s="65"/>
      <c r="G189" s="65"/>
      <c r="J189" s="67"/>
    </row>
    <row r="190" spans="1:10">
      <c r="A190" s="65"/>
      <c r="E190" s="65"/>
      <c r="F190" s="65"/>
      <c r="G190" s="65"/>
      <c r="J190" s="67"/>
    </row>
    <row r="191" spans="1:10">
      <c r="A191" s="65"/>
      <c r="E191" s="65"/>
      <c r="F191" s="65"/>
      <c r="G191" s="65"/>
      <c r="J191" s="67"/>
    </row>
    <row r="192" spans="1:10">
      <c r="A192" s="65"/>
      <c r="E192" s="65"/>
      <c r="F192" s="65"/>
      <c r="G192" s="65"/>
      <c r="J192" s="67"/>
    </row>
    <row r="193" spans="1:10">
      <c r="A193" s="65"/>
      <c r="E193" s="65"/>
      <c r="F193" s="65"/>
      <c r="G193" s="65"/>
      <c r="J193" s="67"/>
    </row>
    <row r="194" spans="1:10">
      <c r="A194" s="65"/>
      <c r="E194" s="65"/>
      <c r="F194" s="65"/>
      <c r="G194" s="65"/>
      <c r="J194" s="67"/>
    </row>
    <row r="195" spans="1:10">
      <c r="A195" s="65"/>
      <c r="E195" s="65"/>
      <c r="F195" s="65"/>
      <c r="G195" s="65"/>
      <c r="J195" s="67"/>
    </row>
    <row r="196" spans="1:10">
      <c r="A196" s="65"/>
      <c r="E196" s="65"/>
      <c r="F196" s="65"/>
      <c r="G196" s="65"/>
      <c r="J196" s="67"/>
    </row>
    <row r="197" spans="1:10">
      <c r="A197" s="65"/>
      <c r="E197" s="65"/>
      <c r="F197" s="65"/>
      <c r="G197" s="65"/>
      <c r="J197" s="67"/>
    </row>
    <row r="198" spans="1:10">
      <c r="A198" s="65"/>
      <c r="E198" s="65"/>
      <c r="F198" s="65"/>
      <c r="G198" s="65"/>
      <c r="J198" s="67"/>
    </row>
    <row r="199" spans="1:10">
      <c r="A199" s="65"/>
      <c r="E199" s="65"/>
      <c r="F199" s="65"/>
      <c r="G199" s="65"/>
      <c r="J199" s="67"/>
    </row>
    <row r="200" spans="1:10">
      <c r="A200" s="65"/>
      <c r="E200" s="65"/>
      <c r="F200" s="65"/>
      <c r="G200" s="65"/>
      <c r="J200" s="67"/>
    </row>
    <row r="201" spans="1:10">
      <c r="A201" s="65"/>
      <c r="E201" s="65"/>
      <c r="F201" s="65"/>
      <c r="G201" s="65"/>
      <c r="J201" s="67"/>
    </row>
    <row r="202" spans="1:10">
      <c r="A202" s="65"/>
      <c r="E202" s="65"/>
      <c r="F202" s="65"/>
      <c r="G202" s="65"/>
      <c r="J202" s="67"/>
    </row>
    <row r="203" spans="1:10">
      <c r="A203" s="65"/>
      <c r="E203" s="65"/>
      <c r="F203" s="65"/>
      <c r="G203" s="65"/>
      <c r="J203" s="67"/>
    </row>
    <row r="204" spans="1:10">
      <c r="A204" s="65"/>
      <c r="E204" s="65"/>
      <c r="F204" s="65"/>
      <c r="G204" s="65"/>
      <c r="J204" s="67"/>
    </row>
    <row r="205" spans="1:10">
      <c r="A205" s="65"/>
      <c r="E205" s="65"/>
      <c r="F205" s="65"/>
      <c r="G205" s="65"/>
      <c r="J205" s="67"/>
    </row>
    <row r="206" spans="1:10">
      <c r="A206" s="65"/>
      <c r="E206" s="65"/>
      <c r="F206" s="65"/>
      <c r="G206" s="65"/>
      <c r="J206" s="67"/>
    </row>
    <row r="207" spans="1:10">
      <c r="A207" s="65"/>
      <c r="E207" s="65"/>
      <c r="F207" s="65"/>
      <c r="G207" s="65"/>
      <c r="J207" s="67"/>
    </row>
    <row r="208" spans="1:10">
      <c r="A208" s="65"/>
      <c r="E208" s="65"/>
      <c r="F208" s="65"/>
      <c r="G208" s="65"/>
      <c r="J208" s="67"/>
    </row>
    <row r="209" spans="1:10">
      <c r="A209" s="65"/>
      <c r="E209" s="65"/>
      <c r="F209" s="65"/>
      <c r="G209" s="65"/>
      <c r="J209" s="67"/>
    </row>
    <row r="210" spans="1:10">
      <c r="A210" s="65"/>
      <c r="E210" s="65"/>
      <c r="F210" s="65"/>
      <c r="G210" s="65"/>
      <c r="J210" s="67"/>
    </row>
    <row r="211" spans="1:10">
      <c r="A211" s="65"/>
      <c r="E211" s="65"/>
      <c r="F211" s="65"/>
      <c r="G211" s="65"/>
      <c r="J211" s="67"/>
    </row>
    <row r="212" spans="1:10">
      <c r="A212" s="65"/>
      <c r="E212" s="65"/>
      <c r="F212" s="65"/>
      <c r="G212" s="65"/>
      <c r="J212" s="67"/>
    </row>
    <row r="213" spans="1:10">
      <c r="A213" s="65"/>
      <c r="E213" s="65"/>
      <c r="F213" s="65"/>
      <c r="G213" s="65"/>
      <c r="J213" s="67"/>
    </row>
    <row r="214" spans="1:10">
      <c r="A214" s="65"/>
      <c r="E214" s="65"/>
      <c r="F214" s="65"/>
      <c r="G214" s="65"/>
      <c r="J214" s="67"/>
    </row>
    <row r="215" spans="1:10">
      <c r="A215" s="65"/>
      <c r="E215" s="65"/>
      <c r="F215" s="65"/>
      <c r="G215" s="65"/>
      <c r="J215" s="67"/>
    </row>
    <row r="216" spans="1:10">
      <c r="A216" s="65"/>
      <c r="E216" s="65"/>
      <c r="F216" s="65"/>
      <c r="G216" s="65"/>
      <c r="J216" s="67"/>
    </row>
    <row r="217" spans="1:10">
      <c r="A217" s="65"/>
      <c r="E217" s="65"/>
      <c r="F217" s="65"/>
      <c r="G217" s="65"/>
      <c r="J217" s="67"/>
    </row>
    <row r="218" spans="1:10">
      <c r="A218" s="65"/>
      <c r="E218" s="65"/>
      <c r="F218" s="65"/>
      <c r="G218" s="65"/>
      <c r="J218" s="67"/>
    </row>
    <row r="219" spans="1:10">
      <c r="A219" s="65"/>
      <c r="E219" s="65"/>
      <c r="F219" s="65"/>
      <c r="G219" s="65"/>
      <c r="J219" s="67"/>
    </row>
    <row r="220" spans="1:10">
      <c r="A220" s="65"/>
      <c r="E220" s="65"/>
      <c r="F220" s="65"/>
      <c r="G220" s="65"/>
      <c r="J220" s="67"/>
    </row>
    <row r="221" spans="1:10">
      <c r="A221" s="65"/>
      <c r="E221" s="65"/>
      <c r="F221" s="65"/>
      <c r="G221" s="65"/>
      <c r="J221" s="67"/>
    </row>
    <row r="222" spans="1:10">
      <c r="A222" s="65"/>
      <c r="E222" s="65"/>
      <c r="F222" s="65"/>
      <c r="G222" s="65"/>
      <c r="J222" s="67"/>
    </row>
    <row r="223" spans="1:10">
      <c r="A223" s="65"/>
      <c r="E223" s="65"/>
      <c r="F223" s="65"/>
      <c r="G223" s="65"/>
      <c r="J223" s="67"/>
    </row>
    <row r="224" spans="1:10">
      <c r="A224" s="65"/>
      <c r="E224" s="65"/>
      <c r="F224" s="65"/>
      <c r="G224" s="65"/>
      <c r="J224" s="67"/>
    </row>
    <row r="225" spans="1:10">
      <c r="A225" s="65"/>
      <c r="E225" s="65"/>
      <c r="F225" s="65"/>
      <c r="G225" s="65"/>
      <c r="J225" s="67"/>
    </row>
    <row r="226" spans="1:10">
      <c r="A226" s="65"/>
      <c r="E226" s="65"/>
      <c r="F226" s="65"/>
      <c r="G226" s="65"/>
      <c r="J226" s="67"/>
    </row>
    <row r="227" spans="1:10">
      <c r="A227" s="65"/>
      <c r="E227" s="65"/>
      <c r="F227" s="65"/>
      <c r="G227" s="65"/>
      <c r="J227" s="67"/>
    </row>
    <row r="228" spans="1:10">
      <c r="A228" s="65"/>
      <c r="E228" s="65"/>
      <c r="F228" s="65"/>
      <c r="G228" s="65"/>
      <c r="J228" s="67"/>
    </row>
    <row r="229" spans="1:10">
      <c r="A229" s="65"/>
      <c r="E229" s="65"/>
      <c r="F229" s="65"/>
      <c r="G229" s="65"/>
      <c r="J229" s="67"/>
    </row>
    <row r="230" spans="1:10">
      <c r="A230" s="65"/>
      <c r="E230" s="65"/>
      <c r="F230" s="65"/>
      <c r="G230" s="65"/>
      <c r="J230" s="67"/>
    </row>
    <row r="231" spans="1:10">
      <c r="A231" s="65"/>
      <c r="E231" s="65"/>
      <c r="F231" s="65"/>
      <c r="G231" s="65"/>
      <c r="J231" s="67"/>
    </row>
    <row r="232" spans="1:10">
      <c r="A232" s="65"/>
      <c r="E232" s="65"/>
      <c r="F232" s="65"/>
      <c r="G232" s="65"/>
      <c r="J232" s="67"/>
    </row>
    <row r="233" spans="1:10">
      <c r="A233" s="65"/>
      <c r="E233" s="65"/>
      <c r="F233" s="65"/>
      <c r="G233" s="65"/>
      <c r="J233" s="67"/>
    </row>
    <row r="234" spans="1:10">
      <c r="A234" s="65"/>
      <c r="E234" s="65"/>
      <c r="F234" s="65"/>
      <c r="G234" s="65"/>
      <c r="J234" s="67"/>
    </row>
    <row r="235" spans="1:10">
      <c r="A235" s="65"/>
      <c r="E235" s="65"/>
      <c r="F235" s="65"/>
      <c r="G235" s="65"/>
      <c r="J235" s="67"/>
    </row>
    <row r="236" spans="1:10">
      <c r="A236" s="65"/>
      <c r="E236" s="65"/>
      <c r="F236" s="65"/>
      <c r="G236" s="65"/>
      <c r="J236" s="67"/>
    </row>
    <row r="237" spans="1:10">
      <c r="A237" s="65"/>
      <c r="E237" s="65"/>
      <c r="F237" s="65"/>
      <c r="G237" s="65"/>
      <c r="J237" s="67"/>
    </row>
    <row r="238" spans="1:10">
      <c r="A238" s="65"/>
      <c r="E238" s="65"/>
      <c r="F238" s="65"/>
      <c r="G238" s="65"/>
      <c r="J238" s="67"/>
    </row>
    <row r="239" spans="1:10">
      <c r="A239" s="65"/>
      <c r="E239" s="65"/>
      <c r="F239" s="65"/>
      <c r="G239" s="65"/>
      <c r="J239" s="67"/>
    </row>
    <row r="240" spans="1:10">
      <c r="A240" s="65"/>
      <c r="E240" s="65"/>
      <c r="F240" s="65"/>
      <c r="G240" s="65"/>
      <c r="J240" s="67"/>
    </row>
    <row r="241" spans="1:10">
      <c r="A241" s="65"/>
      <c r="E241" s="65"/>
      <c r="F241" s="65"/>
      <c r="G241" s="65"/>
      <c r="J241" s="67"/>
    </row>
    <row r="242" spans="1:10">
      <c r="A242" s="65"/>
      <c r="E242" s="65"/>
      <c r="F242" s="65"/>
      <c r="G242" s="65"/>
      <c r="J242" s="67"/>
    </row>
    <row r="243" spans="1:10">
      <c r="A243" s="65"/>
      <c r="E243" s="65"/>
      <c r="F243" s="65"/>
      <c r="G243" s="65"/>
      <c r="J243" s="67"/>
    </row>
    <row r="244" spans="1:10">
      <c r="A244" s="65"/>
      <c r="E244" s="65"/>
      <c r="F244" s="65"/>
      <c r="G244" s="65"/>
      <c r="J244" s="67"/>
    </row>
    <row r="245" spans="1:10">
      <c r="A245" s="65"/>
      <c r="E245" s="65"/>
      <c r="F245" s="65"/>
      <c r="G245" s="65"/>
      <c r="J245" s="67"/>
    </row>
    <row r="246" spans="1:10">
      <c r="A246" s="65"/>
      <c r="E246" s="65"/>
      <c r="F246" s="65"/>
      <c r="G246" s="65"/>
      <c r="J246" s="67"/>
    </row>
    <row r="247" spans="1:10">
      <c r="A247" s="65"/>
      <c r="E247" s="65"/>
      <c r="F247" s="65"/>
      <c r="G247" s="65"/>
      <c r="J247" s="67"/>
    </row>
    <row r="248" spans="1:10">
      <c r="A248" s="65"/>
      <c r="E248" s="65"/>
      <c r="F248" s="65"/>
      <c r="G248" s="65"/>
      <c r="J248" s="67"/>
    </row>
    <row r="249" spans="1:10">
      <c r="A249" s="65"/>
      <c r="E249" s="65"/>
      <c r="F249" s="65"/>
      <c r="G249" s="65"/>
      <c r="J249" s="67"/>
    </row>
    <row r="250" spans="1:10">
      <c r="A250" s="65"/>
      <c r="E250" s="65"/>
      <c r="F250" s="65"/>
      <c r="G250" s="65"/>
      <c r="J250" s="67"/>
    </row>
    <row r="251" spans="1:10">
      <c r="A251" s="65"/>
      <c r="E251" s="65"/>
      <c r="F251" s="65"/>
      <c r="G251" s="65"/>
      <c r="J251" s="67"/>
    </row>
    <row r="252" spans="1:10">
      <c r="A252" s="65"/>
      <c r="E252" s="65"/>
      <c r="F252" s="65"/>
      <c r="G252" s="65"/>
      <c r="J252" s="67"/>
    </row>
    <row r="253" spans="1:10">
      <c r="A253" s="65"/>
      <c r="E253" s="65"/>
      <c r="F253" s="65"/>
      <c r="G253" s="65"/>
      <c r="J253" s="67"/>
    </row>
    <row r="254" spans="1:10">
      <c r="A254" s="65"/>
      <c r="E254" s="65"/>
      <c r="F254" s="65"/>
      <c r="G254" s="65"/>
      <c r="J254" s="67"/>
    </row>
    <row r="255" spans="1:10">
      <c r="A255" s="65"/>
      <c r="E255" s="65"/>
      <c r="F255" s="65"/>
      <c r="G255" s="65"/>
      <c r="J255" s="67"/>
    </row>
    <row r="256" spans="1:10">
      <c r="A256" s="65"/>
      <c r="E256" s="65"/>
      <c r="F256" s="65"/>
      <c r="G256" s="65"/>
      <c r="J256" s="67"/>
    </row>
    <row r="257" spans="1:10">
      <c r="A257" s="65"/>
      <c r="E257" s="65"/>
      <c r="F257" s="65"/>
      <c r="G257" s="65"/>
      <c r="J257" s="67"/>
    </row>
    <row r="258" spans="1:10">
      <c r="A258" s="65"/>
      <c r="E258" s="65"/>
      <c r="F258" s="65"/>
      <c r="G258" s="65"/>
      <c r="J258" s="67"/>
    </row>
    <row r="259" spans="1:10">
      <c r="A259" s="65"/>
      <c r="E259" s="65"/>
      <c r="F259" s="65"/>
      <c r="G259" s="65"/>
      <c r="J259" s="67"/>
    </row>
    <row r="260" spans="1:10">
      <c r="A260" s="65"/>
      <c r="E260" s="65"/>
      <c r="F260" s="65"/>
      <c r="G260" s="65"/>
      <c r="J260" s="67"/>
    </row>
    <row r="261" spans="1:10">
      <c r="A261" s="65"/>
      <c r="E261" s="65"/>
      <c r="F261" s="65"/>
      <c r="G261" s="65"/>
      <c r="J261" s="67"/>
    </row>
    <row r="262" spans="1:10">
      <c r="A262" s="65"/>
      <c r="E262" s="65"/>
      <c r="F262" s="65"/>
      <c r="G262" s="65"/>
      <c r="J262" s="67"/>
    </row>
    <row r="263" spans="1:10">
      <c r="A263" s="65"/>
      <c r="E263" s="65"/>
      <c r="F263" s="65"/>
      <c r="G263" s="65"/>
      <c r="J263" s="67"/>
    </row>
    <row r="264" spans="1:10">
      <c r="A264" s="65"/>
      <c r="E264" s="65"/>
      <c r="F264" s="65"/>
      <c r="G264" s="65"/>
      <c r="J264" s="67"/>
    </row>
    <row r="265" spans="1:10">
      <c r="A265" s="65"/>
      <c r="E265" s="65"/>
      <c r="F265" s="65"/>
      <c r="G265" s="65"/>
      <c r="J265" s="67"/>
    </row>
    <row r="266" spans="1:10">
      <c r="A266" s="65"/>
      <c r="E266" s="65"/>
      <c r="F266" s="65"/>
      <c r="G266" s="65"/>
      <c r="J266" s="67"/>
    </row>
    <row r="267" spans="1:10">
      <c r="A267" s="65"/>
      <c r="E267" s="65"/>
      <c r="F267" s="65"/>
      <c r="G267" s="65"/>
      <c r="J267" s="67"/>
    </row>
    <row r="268" spans="1:10">
      <c r="A268" s="65"/>
      <c r="E268" s="65"/>
      <c r="F268" s="65"/>
      <c r="G268" s="65"/>
      <c r="J268" s="67"/>
    </row>
    <row r="269" spans="1:10">
      <c r="A269" s="65"/>
      <c r="E269" s="65"/>
      <c r="F269" s="65"/>
      <c r="G269" s="65"/>
      <c r="J269" s="67"/>
    </row>
    <row r="270" spans="1:10">
      <c r="A270" s="65"/>
      <c r="E270" s="65"/>
      <c r="F270" s="65"/>
      <c r="G270" s="65"/>
      <c r="J270" s="67"/>
    </row>
    <row r="271" spans="1:10">
      <c r="A271" s="65"/>
      <c r="E271" s="65"/>
      <c r="F271" s="65"/>
      <c r="G271" s="65"/>
      <c r="J271" s="67"/>
    </row>
    <row r="272" spans="1:10">
      <c r="A272" s="65"/>
      <c r="E272" s="65"/>
      <c r="F272" s="65"/>
      <c r="G272" s="65"/>
      <c r="J272" s="67"/>
    </row>
    <row r="273" spans="1:10">
      <c r="A273" s="65"/>
      <c r="E273" s="65"/>
      <c r="F273" s="65"/>
      <c r="G273" s="65"/>
      <c r="J273" s="67"/>
    </row>
    <row r="274" spans="1:10">
      <c r="A274" s="65"/>
      <c r="E274" s="65"/>
      <c r="F274" s="65"/>
      <c r="G274" s="65"/>
      <c r="J274" s="67"/>
    </row>
    <row r="275" spans="1:10">
      <c r="A275" s="65"/>
      <c r="E275" s="65"/>
      <c r="F275" s="65"/>
      <c r="G275" s="65"/>
      <c r="J275" s="67"/>
    </row>
    <row r="276" spans="1:10">
      <c r="A276" s="65"/>
      <c r="E276" s="65"/>
      <c r="F276" s="65"/>
      <c r="G276" s="65"/>
      <c r="J276" s="67"/>
    </row>
    <row r="277" spans="1:10">
      <c r="A277" s="65"/>
      <c r="E277" s="65"/>
      <c r="F277" s="65"/>
      <c r="G277" s="65"/>
      <c r="J277" s="67"/>
    </row>
    <row r="278" spans="1:10">
      <c r="A278" s="65"/>
      <c r="E278" s="65"/>
      <c r="F278" s="65"/>
      <c r="G278" s="65"/>
      <c r="J278" s="67"/>
    </row>
    <row r="279" spans="1:10">
      <c r="A279" s="65"/>
      <c r="E279" s="65"/>
      <c r="F279" s="65"/>
      <c r="G279" s="65"/>
      <c r="J279" s="67"/>
    </row>
    <row r="280" spans="1:10">
      <c r="A280" s="65"/>
      <c r="E280" s="65"/>
      <c r="F280" s="65"/>
      <c r="G280" s="65"/>
      <c r="J280" s="67"/>
    </row>
    <row r="281" spans="1:10">
      <c r="A281" s="65"/>
      <c r="E281" s="65"/>
      <c r="F281" s="65"/>
      <c r="G281" s="65"/>
      <c r="J281" s="67"/>
    </row>
    <row r="282" spans="1:10">
      <c r="A282" s="65"/>
      <c r="E282" s="65"/>
      <c r="F282" s="65"/>
      <c r="G282" s="65"/>
      <c r="J282" s="67"/>
    </row>
    <row r="283" spans="1:10">
      <c r="A283" s="65"/>
      <c r="E283" s="65"/>
      <c r="F283" s="65"/>
      <c r="G283" s="65"/>
      <c r="J283" s="67"/>
    </row>
    <row r="284" spans="1:10">
      <c r="A284" s="65"/>
      <c r="E284" s="65"/>
      <c r="F284" s="65"/>
      <c r="G284" s="65"/>
      <c r="J284" s="67"/>
    </row>
    <row r="285" spans="1:10">
      <c r="A285" s="65"/>
      <c r="E285" s="65"/>
      <c r="F285" s="65"/>
      <c r="G285" s="65"/>
      <c r="J285" s="67"/>
    </row>
    <row r="286" spans="1:10">
      <c r="A286" s="65"/>
      <c r="E286" s="65"/>
      <c r="F286" s="65"/>
      <c r="G286" s="65"/>
      <c r="J286" s="67"/>
    </row>
    <row r="287" spans="1:10">
      <c r="A287" s="65"/>
      <c r="E287" s="65"/>
      <c r="F287" s="65"/>
      <c r="G287" s="65"/>
      <c r="J287" s="67"/>
    </row>
    <row r="288" spans="1:10">
      <c r="A288" s="65"/>
      <c r="E288" s="65"/>
      <c r="F288" s="65"/>
      <c r="G288" s="65"/>
      <c r="J288" s="67"/>
    </row>
    <row r="289" spans="1:10">
      <c r="A289" s="65"/>
      <c r="E289" s="65"/>
      <c r="F289" s="65"/>
      <c r="G289" s="65"/>
      <c r="J289" s="67"/>
    </row>
    <row r="290" spans="1:10">
      <c r="A290" s="65"/>
      <c r="E290" s="65"/>
      <c r="F290" s="65"/>
      <c r="G290" s="65"/>
      <c r="J290" s="67"/>
    </row>
    <row r="291" spans="1:10">
      <c r="A291" s="65"/>
      <c r="E291" s="65"/>
      <c r="F291" s="65"/>
      <c r="G291" s="65"/>
      <c r="J291" s="67"/>
    </row>
    <row r="292" spans="1:10">
      <c r="A292" s="65"/>
      <c r="E292" s="65"/>
      <c r="F292" s="65"/>
      <c r="G292" s="65"/>
      <c r="J292" s="67"/>
    </row>
    <row r="293" spans="1:10">
      <c r="A293" s="65"/>
      <c r="E293" s="65"/>
      <c r="F293" s="65"/>
      <c r="G293" s="65"/>
      <c r="J293" s="67"/>
    </row>
    <row r="294" spans="1:10">
      <c r="A294" s="65"/>
      <c r="E294" s="65"/>
      <c r="F294" s="65"/>
      <c r="G294" s="65"/>
      <c r="J294" s="67"/>
    </row>
    <row r="295" spans="1:10">
      <c r="A295" s="65"/>
      <c r="E295" s="65"/>
      <c r="F295" s="65"/>
      <c r="G295" s="65"/>
      <c r="J295" s="67"/>
    </row>
    <row r="296" spans="1:10">
      <c r="A296" s="65"/>
      <c r="E296" s="65"/>
      <c r="F296" s="65"/>
      <c r="G296" s="65"/>
      <c r="J296" s="67"/>
    </row>
    <row r="297" spans="1:10">
      <c r="A297" s="65"/>
      <c r="E297" s="65"/>
      <c r="F297" s="65"/>
      <c r="G297" s="65"/>
      <c r="J297" s="67"/>
    </row>
    <row r="298" spans="1:10">
      <c r="A298" s="65"/>
      <c r="E298" s="65"/>
      <c r="F298" s="65"/>
      <c r="G298" s="65"/>
      <c r="J298" s="67"/>
    </row>
    <row r="299" spans="1:10">
      <c r="A299" s="65"/>
      <c r="E299" s="65"/>
      <c r="F299" s="65"/>
      <c r="G299" s="65"/>
      <c r="J299" s="67"/>
    </row>
    <row r="300" spans="1:10">
      <c r="A300" s="65"/>
      <c r="E300" s="65"/>
      <c r="F300" s="65"/>
      <c r="G300" s="65"/>
      <c r="J300" s="67"/>
    </row>
    <row r="301" spans="1:10">
      <c r="A301" s="65"/>
      <c r="E301" s="65"/>
      <c r="F301" s="65"/>
      <c r="G301" s="65"/>
      <c r="J301" s="67"/>
    </row>
    <row r="302" spans="1:10">
      <c r="A302" s="65"/>
      <c r="E302" s="65"/>
      <c r="F302" s="65"/>
      <c r="G302" s="65"/>
      <c r="J302" s="67"/>
    </row>
    <row r="303" spans="1:10">
      <c r="A303" s="65"/>
      <c r="E303" s="65"/>
      <c r="F303" s="65"/>
      <c r="G303" s="65"/>
      <c r="J303" s="67"/>
    </row>
    <row r="304" spans="1:10">
      <c r="A304" s="65"/>
      <c r="E304" s="65"/>
      <c r="F304" s="65"/>
      <c r="G304" s="65"/>
      <c r="J304" s="67"/>
    </row>
    <row r="305" spans="1:10">
      <c r="A305" s="65"/>
      <c r="E305" s="65"/>
      <c r="F305" s="65"/>
      <c r="G305" s="65"/>
      <c r="J305" s="67"/>
    </row>
    <row r="306" spans="1:10">
      <c r="A306" s="65"/>
      <c r="E306" s="65"/>
      <c r="F306" s="65"/>
      <c r="G306" s="65"/>
      <c r="J306" s="67"/>
    </row>
    <row r="307" spans="1:10">
      <c r="A307" s="65"/>
      <c r="E307" s="65"/>
      <c r="F307" s="65"/>
      <c r="G307" s="65"/>
      <c r="J307" s="67"/>
    </row>
    <row r="308" spans="1:10">
      <c r="A308" s="65"/>
      <c r="E308" s="65"/>
      <c r="F308" s="65"/>
      <c r="G308" s="65"/>
      <c r="J308" s="67"/>
    </row>
    <row r="309" spans="1:10">
      <c r="A309" s="65"/>
      <c r="E309" s="65"/>
      <c r="F309" s="65"/>
      <c r="G309" s="65"/>
      <c r="J309" s="67"/>
    </row>
    <row r="310" spans="1:10">
      <c r="A310" s="65"/>
      <c r="E310" s="65"/>
      <c r="F310" s="65"/>
      <c r="G310" s="65"/>
      <c r="J310" s="67"/>
    </row>
    <row r="311" spans="1:10">
      <c r="A311" s="65"/>
      <c r="E311" s="65"/>
      <c r="F311" s="65"/>
      <c r="G311" s="65"/>
      <c r="J311" s="67"/>
    </row>
    <row r="312" spans="1:10">
      <c r="A312" s="65"/>
      <c r="E312" s="65"/>
      <c r="F312" s="65"/>
      <c r="G312" s="65"/>
      <c r="J312" s="67"/>
    </row>
    <row r="313" spans="1:10">
      <c r="A313" s="65"/>
      <c r="E313" s="65"/>
      <c r="F313" s="65"/>
      <c r="G313" s="65"/>
      <c r="J313" s="67"/>
    </row>
    <row r="314" spans="1:10">
      <c r="A314" s="65"/>
      <c r="E314" s="65"/>
      <c r="F314" s="65"/>
      <c r="G314" s="65"/>
      <c r="J314" s="67"/>
    </row>
    <row r="315" spans="1:10">
      <c r="A315" s="65"/>
      <c r="E315" s="65"/>
      <c r="F315" s="65"/>
      <c r="G315" s="65"/>
      <c r="J315" s="67"/>
    </row>
    <row r="316" spans="1:10">
      <c r="A316" s="65"/>
      <c r="E316" s="65"/>
      <c r="F316" s="65"/>
      <c r="G316" s="65"/>
      <c r="J316" s="67"/>
    </row>
    <row r="317" spans="1:10">
      <c r="A317" s="65"/>
      <c r="E317" s="65"/>
      <c r="F317" s="65"/>
      <c r="G317" s="65"/>
      <c r="J317" s="67"/>
    </row>
    <row r="318" spans="1:10">
      <c r="A318" s="65"/>
      <c r="E318" s="65"/>
      <c r="F318" s="65"/>
      <c r="G318" s="65"/>
      <c r="J318" s="67"/>
    </row>
    <row r="319" spans="1:10">
      <c r="A319" s="65"/>
      <c r="E319" s="65"/>
      <c r="F319" s="65"/>
      <c r="G319" s="65"/>
      <c r="J319" s="67"/>
    </row>
    <row r="320" spans="1:10">
      <c r="A320" s="65"/>
      <c r="E320" s="65"/>
      <c r="F320" s="65"/>
      <c r="G320" s="65"/>
      <c r="J320" s="67"/>
    </row>
    <row r="321" spans="1:10">
      <c r="A321" s="65"/>
      <c r="E321" s="65"/>
      <c r="F321" s="65"/>
      <c r="G321" s="65"/>
      <c r="J321" s="67"/>
    </row>
    <row r="322" spans="1:10">
      <c r="A322" s="65"/>
      <c r="E322" s="65"/>
      <c r="F322" s="65"/>
      <c r="G322" s="65"/>
      <c r="J322" s="67"/>
    </row>
    <row r="323" spans="1:10">
      <c r="A323" s="65"/>
      <c r="E323" s="65"/>
      <c r="F323" s="65"/>
      <c r="G323" s="65"/>
      <c r="J323" s="67"/>
    </row>
    <row r="324" spans="1:10">
      <c r="A324" s="65"/>
      <c r="E324" s="65"/>
      <c r="F324" s="65"/>
      <c r="G324" s="65"/>
      <c r="J324" s="67"/>
    </row>
    <row r="325" spans="1:10">
      <c r="A325" s="65"/>
      <c r="E325" s="65"/>
      <c r="F325" s="65"/>
      <c r="G325" s="65"/>
      <c r="J325" s="67"/>
    </row>
    <row r="326" spans="1:10">
      <c r="A326" s="65"/>
      <c r="E326" s="65"/>
      <c r="F326" s="65"/>
      <c r="G326" s="65"/>
      <c r="J326" s="67"/>
    </row>
    <row r="327" spans="1:10">
      <c r="A327" s="65"/>
      <c r="E327" s="65"/>
      <c r="F327" s="65"/>
      <c r="G327" s="65"/>
      <c r="J327" s="67"/>
    </row>
    <row r="328" spans="1:10">
      <c r="A328" s="65"/>
      <c r="E328" s="65"/>
      <c r="F328" s="65"/>
      <c r="G328" s="65"/>
      <c r="J328" s="67"/>
    </row>
    <row r="329" spans="1:10">
      <c r="A329" s="65"/>
      <c r="E329" s="65"/>
      <c r="F329" s="65"/>
      <c r="G329" s="65"/>
      <c r="J329" s="67"/>
    </row>
    <row r="330" spans="1:10">
      <c r="A330" s="65"/>
      <c r="E330" s="65"/>
      <c r="F330" s="65"/>
      <c r="G330" s="65"/>
      <c r="J330" s="67"/>
    </row>
    <row r="331" spans="1:10">
      <c r="A331" s="65"/>
      <c r="E331" s="65"/>
      <c r="F331" s="65"/>
      <c r="G331" s="65"/>
      <c r="J331" s="67"/>
    </row>
    <row r="332" spans="1:10">
      <c r="A332" s="65"/>
      <c r="E332" s="65"/>
      <c r="F332" s="65"/>
      <c r="G332" s="65"/>
      <c r="J332" s="67"/>
    </row>
    <row r="333" spans="1:10">
      <c r="A333" s="65"/>
      <c r="E333" s="65"/>
      <c r="F333" s="65"/>
      <c r="G333" s="65"/>
      <c r="J333" s="67"/>
    </row>
    <row r="334" spans="1:10">
      <c r="A334" s="65"/>
      <c r="E334" s="65"/>
      <c r="F334" s="65"/>
      <c r="G334" s="65"/>
      <c r="J334" s="67"/>
    </row>
    <row r="335" spans="1:10">
      <c r="A335" s="65"/>
      <c r="E335" s="65"/>
      <c r="F335" s="65"/>
      <c r="G335" s="65"/>
      <c r="J335" s="67"/>
    </row>
    <row r="336" spans="1:10">
      <c r="A336" s="65"/>
      <c r="E336" s="65"/>
      <c r="F336" s="65"/>
      <c r="G336" s="65"/>
      <c r="J336" s="67"/>
    </row>
    <row r="337" spans="1:10">
      <c r="A337" s="65"/>
      <c r="E337" s="65"/>
      <c r="F337" s="65"/>
      <c r="G337" s="65"/>
      <c r="J337" s="67"/>
    </row>
    <row r="338" spans="1:10">
      <c r="A338" s="65"/>
      <c r="E338" s="65"/>
      <c r="F338" s="65"/>
      <c r="G338" s="65"/>
      <c r="J338" s="67"/>
    </row>
    <row r="339" spans="1:10">
      <c r="A339" s="65"/>
      <c r="E339" s="65"/>
      <c r="F339" s="65"/>
      <c r="G339" s="65"/>
      <c r="J339" s="67"/>
    </row>
    <row r="340" spans="1:10">
      <c r="A340" s="65"/>
      <c r="E340" s="65"/>
      <c r="F340" s="65"/>
      <c r="G340" s="65"/>
      <c r="J340" s="67"/>
    </row>
    <row r="341" spans="1:10">
      <c r="A341" s="65"/>
      <c r="E341" s="65"/>
      <c r="F341" s="65"/>
      <c r="G341" s="65"/>
      <c r="J341" s="67"/>
    </row>
    <row r="342" spans="1:10">
      <c r="A342" s="65"/>
      <c r="E342" s="65"/>
      <c r="F342" s="65"/>
      <c r="G342" s="65"/>
      <c r="J342" s="67"/>
    </row>
    <row r="343" spans="1:10">
      <c r="A343" s="65"/>
      <c r="E343" s="65"/>
      <c r="F343" s="65"/>
      <c r="G343" s="65"/>
      <c r="J343" s="67"/>
    </row>
    <row r="344" spans="1:10">
      <c r="A344" s="65"/>
      <c r="E344" s="65"/>
      <c r="F344" s="65"/>
      <c r="G344" s="65"/>
      <c r="J344" s="67"/>
    </row>
    <row r="345" spans="1:10">
      <c r="A345" s="65"/>
      <c r="E345" s="65"/>
      <c r="F345" s="65"/>
      <c r="G345" s="65"/>
      <c r="J345" s="67"/>
    </row>
    <row r="346" spans="1:10">
      <c r="A346" s="65"/>
      <c r="E346" s="65"/>
      <c r="F346" s="65"/>
      <c r="G346" s="65"/>
      <c r="J346" s="67"/>
    </row>
    <row r="347" spans="1:10">
      <c r="A347" s="65"/>
      <c r="E347" s="65"/>
      <c r="F347" s="65"/>
      <c r="G347" s="65"/>
      <c r="J347" s="67"/>
    </row>
    <row r="348" spans="1:10">
      <c r="A348" s="65"/>
      <c r="E348" s="65"/>
      <c r="F348" s="65"/>
      <c r="G348" s="65"/>
      <c r="J348" s="67"/>
    </row>
    <row r="349" spans="1:10">
      <c r="A349" s="65"/>
      <c r="E349" s="65"/>
      <c r="F349" s="65"/>
      <c r="G349" s="65"/>
      <c r="J349" s="67"/>
    </row>
    <row r="350" spans="1:10">
      <c r="A350" s="65"/>
      <c r="E350" s="65"/>
      <c r="F350" s="65"/>
      <c r="G350" s="65"/>
      <c r="J350" s="67"/>
    </row>
    <row r="351" spans="1:10">
      <c r="A351" s="65"/>
      <c r="E351" s="65"/>
      <c r="F351" s="65"/>
      <c r="G351" s="65"/>
      <c r="J351" s="67"/>
    </row>
    <row r="352" spans="1:10">
      <c r="A352" s="65"/>
      <c r="E352" s="65"/>
      <c r="F352" s="65"/>
      <c r="G352" s="65"/>
      <c r="J352" s="67"/>
    </row>
    <row r="353" spans="1:10">
      <c r="A353" s="65"/>
      <c r="E353" s="65"/>
      <c r="F353" s="65"/>
      <c r="G353" s="65"/>
      <c r="J353" s="67"/>
    </row>
    <row r="354" spans="1:10">
      <c r="A354" s="65"/>
      <c r="E354" s="65"/>
      <c r="F354" s="65"/>
      <c r="G354" s="65"/>
      <c r="J354" s="67"/>
    </row>
    <row r="355" spans="1:10">
      <c r="A355" s="65"/>
      <c r="E355" s="65"/>
      <c r="F355" s="65"/>
      <c r="G355" s="65"/>
      <c r="J355" s="67"/>
    </row>
    <row r="356" spans="1:10">
      <c r="A356" s="65"/>
      <c r="E356" s="65"/>
      <c r="F356" s="65"/>
      <c r="G356" s="65"/>
      <c r="J356" s="67"/>
    </row>
    <row r="357" spans="1:10">
      <c r="A357" s="65"/>
      <c r="E357" s="65"/>
      <c r="F357" s="65"/>
      <c r="G357" s="65"/>
      <c r="J357" s="67"/>
    </row>
    <row r="358" spans="1:10">
      <c r="A358" s="65"/>
      <c r="E358" s="65"/>
      <c r="F358" s="65"/>
      <c r="G358" s="65"/>
      <c r="J358" s="67"/>
    </row>
    <row r="359" spans="1:10">
      <c r="A359" s="65"/>
      <c r="E359" s="65"/>
      <c r="F359" s="65"/>
      <c r="G359" s="65"/>
      <c r="J359" s="67"/>
    </row>
    <row r="360" spans="1:10">
      <c r="A360" s="65"/>
      <c r="E360" s="65"/>
      <c r="F360" s="65"/>
      <c r="G360" s="65"/>
      <c r="J360" s="67"/>
    </row>
    <row r="361" spans="1:10">
      <c r="A361" s="65"/>
      <c r="E361" s="65"/>
      <c r="F361" s="65"/>
      <c r="G361" s="65"/>
      <c r="J361" s="67"/>
    </row>
    <row r="362" spans="1:10">
      <c r="A362" s="65"/>
      <c r="E362" s="65"/>
      <c r="F362" s="65"/>
      <c r="G362" s="65"/>
      <c r="J362" s="67"/>
    </row>
    <row r="363" spans="1:10">
      <c r="A363" s="65"/>
      <c r="E363" s="65"/>
      <c r="F363" s="65"/>
      <c r="G363" s="65"/>
      <c r="J363" s="67"/>
    </row>
    <row r="364" spans="1:10">
      <c r="A364" s="65"/>
      <c r="E364" s="65"/>
      <c r="F364" s="65"/>
      <c r="G364" s="65"/>
      <c r="J364" s="67"/>
    </row>
    <row r="365" spans="1:10">
      <c r="A365" s="65"/>
      <c r="E365" s="65"/>
      <c r="F365" s="65"/>
      <c r="G365" s="65"/>
      <c r="J365" s="67"/>
    </row>
    <row r="366" spans="1:10">
      <c r="A366" s="65"/>
      <c r="E366" s="65"/>
      <c r="F366" s="65"/>
      <c r="G366" s="65"/>
      <c r="J366" s="67"/>
    </row>
    <row r="367" spans="1:10">
      <c r="A367" s="65"/>
      <c r="E367" s="65"/>
      <c r="F367" s="65"/>
      <c r="G367" s="65"/>
      <c r="J367" s="67"/>
    </row>
    <row r="368" spans="1:10">
      <c r="A368" s="65"/>
      <c r="E368" s="65"/>
      <c r="F368" s="65"/>
      <c r="G368" s="65"/>
      <c r="J368" s="67"/>
    </row>
    <row r="369" spans="1:10">
      <c r="A369" s="65"/>
      <c r="E369" s="65"/>
      <c r="F369" s="65"/>
      <c r="G369" s="65"/>
      <c r="J369" s="67"/>
    </row>
    <row r="370" spans="1:10">
      <c r="A370" s="65"/>
      <c r="E370" s="65"/>
      <c r="F370" s="65"/>
      <c r="G370" s="65"/>
      <c r="J370" s="67"/>
    </row>
    <row r="371" spans="1:10">
      <c r="A371" s="65"/>
      <c r="E371" s="65"/>
      <c r="F371" s="65"/>
      <c r="G371" s="65"/>
      <c r="J371" s="67"/>
    </row>
    <row r="372" spans="1:10">
      <c r="A372" s="65"/>
      <c r="E372" s="65"/>
      <c r="F372" s="65"/>
      <c r="G372" s="65"/>
      <c r="J372" s="67"/>
    </row>
    <row r="373" spans="1:10">
      <c r="A373" s="65"/>
      <c r="E373" s="65"/>
      <c r="F373" s="65"/>
      <c r="G373" s="65"/>
      <c r="J373" s="67"/>
    </row>
    <row r="374" spans="1:10">
      <c r="A374" s="65"/>
      <c r="E374" s="65"/>
      <c r="F374" s="65"/>
      <c r="G374" s="65"/>
      <c r="J374" s="67"/>
    </row>
    <row r="375" spans="1:10">
      <c r="A375" s="65"/>
      <c r="E375" s="65"/>
      <c r="F375" s="65"/>
      <c r="G375" s="65"/>
      <c r="J375" s="67"/>
    </row>
    <row r="376" spans="1:10">
      <c r="A376" s="65"/>
      <c r="E376" s="65"/>
      <c r="F376" s="65"/>
      <c r="G376" s="65"/>
      <c r="J376" s="67"/>
    </row>
    <row r="377" spans="1:10">
      <c r="A377" s="65"/>
      <c r="E377" s="65"/>
      <c r="F377" s="65"/>
      <c r="G377" s="65"/>
      <c r="J377" s="67"/>
    </row>
    <row r="378" spans="1:10">
      <c r="A378" s="65"/>
      <c r="E378" s="65"/>
      <c r="F378" s="65"/>
      <c r="G378" s="65"/>
      <c r="J378" s="67"/>
    </row>
    <row r="379" spans="1:10">
      <c r="A379" s="65"/>
      <c r="E379" s="65"/>
      <c r="F379" s="65"/>
      <c r="G379" s="65"/>
      <c r="J379" s="67"/>
    </row>
    <row r="380" spans="1:10">
      <c r="A380" s="65"/>
      <c r="E380" s="65"/>
      <c r="F380" s="65"/>
      <c r="G380" s="65"/>
      <c r="J380" s="67"/>
    </row>
    <row r="381" spans="1:10">
      <c r="A381" s="65"/>
      <c r="E381" s="65"/>
      <c r="F381" s="65"/>
      <c r="G381" s="65"/>
      <c r="J381" s="67"/>
    </row>
    <row r="382" spans="1:10">
      <c r="A382" s="65"/>
      <c r="E382" s="65"/>
      <c r="F382" s="65"/>
      <c r="G382" s="65"/>
      <c r="J382" s="67"/>
    </row>
    <row r="383" spans="1:10">
      <c r="A383" s="65"/>
      <c r="E383" s="65"/>
      <c r="F383" s="65"/>
      <c r="G383" s="65"/>
      <c r="J383" s="67"/>
    </row>
    <row r="384" spans="1:10">
      <c r="A384" s="65"/>
      <c r="E384" s="65"/>
      <c r="F384" s="65"/>
      <c r="G384" s="65"/>
      <c r="J384" s="67"/>
    </row>
    <row r="385" spans="1:10">
      <c r="A385" s="65"/>
      <c r="E385" s="65"/>
      <c r="F385" s="65"/>
      <c r="G385" s="65"/>
      <c r="J385" s="67"/>
    </row>
    <row r="386" spans="1:10">
      <c r="A386" s="65"/>
      <c r="E386" s="65"/>
      <c r="F386" s="65"/>
      <c r="G386" s="65"/>
      <c r="J386" s="67"/>
    </row>
    <row r="387" spans="1:10">
      <c r="A387" s="65"/>
      <c r="E387" s="65"/>
      <c r="F387" s="65"/>
      <c r="G387" s="65"/>
      <c r="J387" s="67"/>
    </row>
    <row r="388" spans="1:10">
      <c r="A388" s="65"/>
      <c r="E388" s="65"/>
      <c r="F388" s="65"/>
      <c r="G388" s="65"/>
      <c r="J388" s="67"/>
    </row>
    <row r="389" spans="1:10">
      <c r="A389" s="65"/>
      <c r="E389" s="65"/>
      <c r="F389" s="65"/>
      <c r="G389" s="65"/>
      <c r="J389" s="67"/>
    </row>
    <row r="390" spans="1:10">
      <c r="A390" s="65"/>
      <c r="E390" s="65"/>
      <c r="F390" s="65"/>
      <c r="G390" s="65"/>
      <c r="J390" s="67"/>
    </row>
    <row r="391" spans="1:10">
      <c r="A391" s="65"/>
      <c r="E391" s="65"/>
      <c r="F391" s="65"/>
      <c r="G391" s="65"/>
      <c r="J391" s="67"/>
    </row>
    <row r="392" spans="1:10">
      <c r="A392" s="65"/>
      <c r="E392" s="65"/>
      <c r="F392" s="65"/>
      <c r="G392" s="65"/>
      <c r="J392" s="67"/>
    </row>
    <row r="393" spans="1:10">
      <c r="A393" s="65"/>
      <c r="E393" s="65"/>
      <c r="F393" s="65"/>
      <c r="G393" s="65"/>
      <c r="J393" s="67"/>
    </row>
    <row r="394" spans="1:10">
      <c r="A394" s="65"/>
      <c r="E394" s="65"/>
      <c r="F394" s="65"/>
      <c r="G394" s="65"/>
      <c r="J394" s="67"/>
    </row>
    <row r="395" spans="1:10">
      <c r="A395" s="65"/>
      <c r="E395" s="65"/>
      <c r="F395" s="65"/>
      <c r="G395" s="65"/>
      <c r="J395" s="67"/>
    </row>
    <row r="396" spans="1:10">
      <c r="A396" s="65"/>
      <c r="E396" s="65"/>
      <c r="F396" s="65"/>
      <c r="G396" s="65"/>
      <c r="J396" s="67"/>
    </row>
    <row r="397" spans="1:10">
      <c r="A397" s="65"/>
      <c r="E397" s="65"/>
      <c r="F397" s="65"/>
      <c r="G397" s="65"/>
      <c r="J397" s="67"/>
    </row>
    <row r="398" spans="1:10">
      <c r="A398" s="65"/>
      <c r="E398" s="65"/>
      <c r="F398" s="65"/>
      <c r="G398" s="65"/>
      <c r="J398" s="67"/>
    </row>
    <row r="399" spans="1:10">
      <c r="A399" s="65"/>
      <c r="E399" s="65"/>
      <c r="F399" s="65"/>
      <c r="G399" s="65"/>
      <c r="J399" s="67"/>
    </row>
    <row r="400" spans="1:10">
      <c r="A400" s="65"/>
      <c r="E400" s="65"/>
      <c r="F400" s="65"/>
      <c r="G400" s="65"/>
      <c r="J400" s="67"/>
    </row>
    <row r="401" spans="1:10">
      <c r="A401" s="65"/>
      <c r="E401" s="65"/>
      <c r="F401" s="65"/>
      <c r="G401" s="65"/>
      <c r="J401" s="67"/>
    </row>
    <row r="402" spans="1:10">
      <c r="A402" s="65"/>
      <c r="E402" s="65"/>
      <c r="F402" s="65"/>
      <c r="G402" s="65"/>
      <c r="J402" s="67"/>
    </row>
    <row r="403" spans="1:10">
      <c r="A403" s="65"/>
      <c r="E403" s="65"/>
      <c r="F403" s="65"/>
      <c r="G403" s="65"/>
      <c r="J403" s="67"/>
    </row>
    <row r="404" spans="1:10">
      <c r="A404" s="65"/>
      <c r="E404" s="65"/>
      <c r="F404" s="65"/>
      <c r="G404" s="65"/>
      <c r="J404" s="67"/>
    </row>
    <row r="405" spans="1:10">
      <c r="A405" s="65"/>
      <c r="E405" s="65"/>
      <c r="F405" s="65"/>
      <c r="G405" s="65"/>
      <c r="J405" s="67"/>
    </row>
    <row r="406" spans="1:10">
      <c r="A406" s="65"/>
      <c r="E406" s="65"/>
      <c r="F406" s="65"/>
      <c r="G406" s="65"/>
      <c r="J406" s="67"/>
    </row>
    <row r="407" spans="1:10">
      <c r="A407" s="65"/>
      <c r="E407" s="65"/>
      <c r="F407" s="65"/>
      <c r="G407" s="65"/>
      <c r="J407" s="67"/>
    </row>
    <row r="408" spans="1:10">
      <c r="A408" s="65"/>
      <c r="E408" s="65"/>
      <c r="F408" s="65"/>
      <c r="G408" s="65"/>
      <c r="J408" s="67"/>
    </row>
    <row r="409" spans="1:10">
      <c r="A409" s="65"/>
      <c r="E409" s="65"/>
      <c r="F409" s="65"/>
      <c r="G409" s="65"/>
      <c r="J409" s="67"/>
    </row>
    <row r="410" spans="1:10">
      <c r="A410" s="65"/>
      <c r="E410" s="65"/>
      <c r="F410" s="65"/>
      <c r="G410" s="65"/>
      <c r="J410" s="67"/>
    </row>
    <row r="411" spans="1:10">
      <c r="A411" s="65"/>
      <c r="E411" s="65"/>
      <c r="F411" s="65"/>
      <c r="G411" s="65"/>
      <c r="J411" s="67"/>
    </row>
    <row r="412" spans="1:10">
      <c r="A412" s="65"/>
      <c r="E412" s="65"/>
      <c r="F412" s="65"/>
      <c r="G412" s="65"/>
      <c r="J412" s="67"/>
    </row>
    <row r="413" spans="1:10">
      <c r="A413" s="65"/>
      <c r="E413" s="65"/>
      <c r="F413" s="65"/>
      <c r="G413" s="65"/>
      <c r="J413" s="67"/>
    </row>
    <row r="414" spans="1:10">
      <c r="A414" s="65"/>
      <c r="E414" s="65"/>
      <c r="F414" s="65"/>
      <c r="G414" s="65"/>
      <c r="J414" s="67"/>
    </row>
    <row r="415" spans="1:10">
      <c r="A415" s="65"/>
      <c r="E415" s="65"/>
      <c r="F415" s="65"/>
      <c r="G415" s="65"/>
      <c r="J415" s="67"/>
    </row>
    <row r="416" spans="1:10">
      <c r="A416" s="65"/>
      <c r="E416" s="65"/>
      <c r="F416" s="65"/>
      <c r="G416" s="65"/>
      <c r="J416" s="67"/>
    </row>
    <row r="417" spans="1:10">
      <c r="A417" s="65"/>
      <c r="E417" s="65"/>
      <c r="F417" s="65"/>
      <c r="G417" s="65"/>
      <c r="J417" s="67"/>
    </row>
    <row r="418" spans="1:10">
      <c r="A418" s="65"/>
      <c r="E418" s="65"/>
      <c r="F418" s="65"/>
      <c r="G418" s="65"/>
      <c r="J418" s="67"/>
    </row>
    <row r="419" spans="1:10">
      <c r="A419" s="65"/>
      <c r="E419" s="65"/>
      <c r="F419" s="65"/>
      <c r="G419" s="65"/>
      <c r="J419" s="67"/>
    </row>
    <row r="420" spans="1:10">
      <c r="A420" s="65"/>
      <c r="E420" s="65"/>
      <c r="F420" s="65"/>
      <c r="G420" s="65"/>
      <c r="J420" s="67"/>
    </row>
    <row r="421" spans="1:10">
      <c r="A421" s="65"/>
      <c r="E421" s="65"/>
      <c r="F421" s="65"/>
      <c r="G421" s="65"/>
      <c r="J421" s="67"/>
    </row>
    <row r="422" spans="1:10">
      <c r="A422" s="65"/>
      <c r="E422" s="65"/>
      <c r="F422" s="65"/>
      <c r="G422" s="65"/>
      <c r="J422" s="67"/>
    </row>
    <row r="423" spans="1:10">
      <c r="A423" s="65"/>
      <c r="E423" s="65"/>
      <c r="F423" s="65"/>
      <c r="G423" s="65"/>
      <c r="J423" s="67"/>
    </row>
    <row r="424" spans="1:10">
      <c r="A424" s="65"/>
      <c r="E424" s="65"/>
      <c r="F424" s="65"/>
      <c r="G424" s="65"/>
    </row>
    <row r="425" spans="1:10">
      <c r="A425" s="65"/>
      <c r="E425" s="65"/>
      <c r="F425" s="65"/>
      <c r="G425" s="65"/>
    </row>
    <row r="426" spans="1:10">
      <c r="A426" s="65"/>
      <c r="E426" s="65"/>
      <c r="F426" s="65"/>
      <c r="G426" s="65"/>
    </row>
    <row r="427" spans="1:10">
      <c r="A427" s="65"/>
      <c r="E427" s="65"/>
      <c r="F427" s="65"/>
      <c r="G427" s="65"/>
    </row>
    <row r="428" spans="1:10">
      <c r="A428" s="65"/>
      <c r="E428" s="65"/>
      <c r="F428" s="65"/>
      <c r="G428" s="65"/>
    </row>
    <row r="429" spans="1:10">
      <c r="A429" s="65"/>
      <c r="E429" s="65"/>
      <c r="F429" s="65"/>
      <c r="G429" s="65"/>
    </row>
    <row r="430" spans="1:10">
      <c r="A430" s="65"/>
      <c r="E430" s="65"/>
      <c r="F430" s="65"/>
      <c r="G430" s="65"/>
    </row>
    <row r="431" spans="1:10">
      <c r="A431" s="65"/>
      <c r="E431" s="65"/>
      <c r="F431" s="65"/>
      <c r="G431" s="65"/>
    </row>
    <row r="432" spans="1:10">
      <c r="A432" s="65"/>
      <c r="E432" s="65"/>
      <c r="F432" s="65"/>
      <c r="G432" s="65"/>
    </row>
    <row r="433" spans="1:7">
      <c r="A433" s="65"/>
      <c r="E433" s="65"/>
      <c r="F433" s="65"/>
      <c r="G433" s="65"/>
    </row>
    <row r="434" spans="1:7">
      <c r="A434" s="65"/>
      <c r="E434" s="65"/>
      <c r="F434" s="65"/>
      <c r="G434" s="65"/>
    </row>
    <row r="435" spans="1:7">
      <c r="A435" s="65"/>
      <c r="E435" s="65"/>
      <c r="F435" s="65"/>
      <c r="G435" s="65"/>
    </row>
    <row r="436" spans="1:7">
      <c r="A436" s="65"/>
      <c r="E436" s="65"/>
      <c r="F436" s="65"/>
      <c r="G436" s="65"/>
    </row>
  </sheetData>
  <mergeCells count="29">
    <mergeCell ref="H4:I4"/>
    <mergeCell ref="J4:J5"/>
    <mergeCell ref="A2:B2"/>
    <mergeCell ref="A4:A5"/>
    <mergeCell ref="B4:B5"/>
    <mergeCell ref="C4:C5"/>
    <mergeCell ref="D4:D5"/>
    <mergeCell ref="E4:F4"/>
    <mergeCell ref="B104:B105"/>
    <mergeCell ref="C104:C105"/>
    <mergeCell ref="D104:D105"/>
    <mergeCell ref="E104:E105"/>
    <mergeCell ref="G4:G5"/>
    <mergeCell ref="J60:J61"/>
    <mergeCell ref="H104:H105"/>
    <mergeCell ref="I104:I105"/>
    <mergeCell ref="J104:J105"/>
    <mergeCell ref="A58:B58"/>
    <mergeCell ref="A60:A61"/>
    <mergeCell ref="B60:B61"/>
    <mergeCell ref="C60:C61"/>
    <mergeCell ref="D60:D61"/>
    <mergeCell ref="E60:F60"/>
    <mergeCell ref="G60:G61"/>
    <mergeCell ref="A101:H101"/>
    <mergeCell ref="A102:H102"/>
    <mergeCell ref="A103:H103"/>
    <mergeCell ref="H60:I60"/>
    <mergeCell ref="A104:A10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N1158"/>
  <sheetViews>
    <sheetView workbookViewId="0">
      <selection activeCell="G1163" sqref="G1163"/>
    </sheetView>
  </sheetViews>
  <sheetFormatPr defaultRowHeight="16.5" outlineLevelRow="2" outlineLevelCol="1"/>
  <cols>
    <col min="1" max="1" width="4" bestFit="1" customWidth="1"/>
    <col min="2" max="2" width="22.140625" customWidth="1" collapsed="1"/>
    <col min="3" max="3" width="5.5703125" style="267" hidden="1" customWidth="1" outlineLevel="1" collapsed="1"/>
    <col min="4" max="5" width="7.140625" hidden="1" customWidth="1" outlineLevel="1"/>
    <col min="6" max="6" width="6.140625" hidden="1" customWidth="1" outlineLevel="1"/>
    <col min="7" max="7" width="9" style="268" bestFit="1" customWidth="1"/>
    <col min="8" max="8" width="8.140625" style="268" customWidth="1" collapsed="1"/>
    <col min="9" max="9" width="8.140625" style="268" bestFit="1" customWidth="1" collapsed="1"/>
    <col min="10" max="10" width="6.85546875" style="268" bestFit="1" customWidth="1" collapsed="1"/>
    <col min="11" max="11" width="10.5703125" style="268" hidden="1" customWidth="1" collapsed="1"/>
    <col min="12" max="12" width="9.140625" style="268" hidden="1" customWidth="1"/>
    <col min="13" max="13" width="10" style="268" hidden="1" customWidth="1"/>
    <col min="14" max="14" width="17.5703125" style="222" customWidth="1"/>
    <col min="15" max="15" width="4.7109375" customWidth="1"/>
  </cols>
  <sheetData>
    <row r="1" spans="1:14" ht="18.75">
      <c r="A1" s="518" t="s">
        <v>315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</row>
    <row r="2" spans="1:14">
      <c r="A2" s="504" t="s">
        <v>155</v>
      </c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</row>
    <row r="3" spans="1:14" s="202" customFormat="1" ht="12.75">
      <c r="A3" s="197"/>
      <c r="B3" s="198"/>
      <c r="C3" s="199"/>
      <c r="D3" s="200"/>
      <c r="E3" s="198"/>
      <c r="F3" s="198"/>
      <c r="G3" s="201"/>
      <c r="H3" s="201"/>
      <c r="I3" s="201"/>
      <c r="J3" s="201"/>
      <c r="K3" s="201"/>
      <c r="L3" s="201"/>
      <c r="M3" s="201"/>
      <c r="N3" s="198"/>
    </row>
    <row r="4" spans="1:14" ht="27.75">
      <c r="A4" s="203" t="s">
        <v>156</v>
      </c>
      <c r="B4" s="204" t="s">
        <v>157</v>
      </c>
      <c r="C4" s="519" t="s">
        <v>158</v>
      </c>
      <c r="D4" s="205" t="s">
        <v>159</v>
      </c>
      <c r="E4" s="521" t="s">
        <v>160</v>
      </c>
      <c r="F4" s="522"/>
      <c r="G4" s="206" t="s">
        <v>312</v>
      </c>
      <c r="H4" s="206" t="s">
        <v>313</v>
      </c>
      <c r="I4" s="206" t="s">
        <v>314</v>
      </c>
      <c r="J4" s="206" t="s">
        <v>162</v>
      </c>
      <c r="K4" s="206" t="s">
        <v>163</v>
      </c>
      <c r="L4" s="206" t="s">
        <v>164</v>
      </c>
      <c r="M4" s="206" t="s">
        <v>165</v>
      </c>
      <c r="N4" s="207"/>
    </row>
    <row r="5" spans="1:14">
      <c r="A5" s="208" t="s">
        <v>0</v>
      </c>
      <c r="B5" s="209"/>
      <c r="C5" s="520"/>
      <c r="D5" s="210" t="s">
        <v>166</v>
      </c>
      <c r="E5" s="211" t="s">
        <v>167</v>
      </c>
      <c r="F5" s="211" t="s">
        <v>168</v>
      </c>
      <c r="G5" s="212" t="s">
        <v>169</v>
      </c>
      <c r="H5" s="212" t="s">
        <v>171</v>
      </c>
      <c r="I5" s="212" t="s">
        <v>173</v>
      </c>
      <c r="J5" s="212" t="s">
        <v>175</v>
      </c>
      <c r="K5" s="212" t="s">
        <v>177</v>
      </c>
      <c r="L5" s="212" t="s">
        <v>178</v>
      </c>
      <c r="M5" s="212" t="s">
        <v>179</v>
      </c>
      <c r="N5" s="213" t="s">
        <v>34</v>
      </c>
    </row>
    <row r="6" spans="1:14">
      <c r="A6" s="214"/>
      <c r="B6" s="215"/>
      <c r="C6" s="216" t="s">
        <v>180</v>
      </c>
      <c r="D6" s="217"/>
      <c r="E6" s="218" t="s">
        <v>181</v>
      </c>
      <c r="F6" s="218" t="s">
        <v>181</v>
      </c>
      <c r="G6" s="219" t="s">
        <v>182</v>
      </c>
      <c r="H6" s="219" t="s">
        <v>182</v>
      </c>
      <c r="I6" s="219" t="s">
        <v>182</v>
      </c>
      <c r="J6" s="219" t="s">
        <v>182</v>
      </c>
      <c r="K6" s="219" t="s">
        <v>183</v>
      </c>
      <c r="L6" s="219" t="s">
        <v>183</v>
      </c>
      <c r="M6" s="219" t="s">
        <v>183</v>
      </c>
      <c r="N6" s="220"/>
    </row>
    <row r="7" spans="1:14" s="222" customFormat="1" ht="15.75" customHeight="1">
      <c r="A7" s="221">
        <v>1</v>
      </c>
      <c r="B7" s="221">
        <v>2</v>
      </c>
      <c r="C7" s="221">
        <v>4</v>
      </c>
      <c r="D7" s="221">
        <v>3</v>
      </c>
      <c r="E7" s="221">
        <v>5</v>
      </c>
      <c r="F7" s="221">
        <v>6</v>
      </c>
      <c r="G7" s="221">
        <v>8</v>
      </c>
      <c r="H7" s="221">
        <v>10</v>
      </c>
      <c r="I7" s="221">
        <v>12</v>
      </c>
      <c r="J7" s="221">
        <v>14</v>
      </c>
      <c r="K7" s="221">
        <v>16</v>
      </c>
      <c r="L7" s="221">
        <v>17</v>
      </c>
      <c r="M7" s="221">
        <v>19</v>
      </c>
      <c r="N7" s="221">
        <v>23</v>
      </c>
    </row>
    <row r="8" spans="1:14">
      <c r="A8" s="223"/>
      <c r="B8" s="224" t="s">
        <v>184</v>
      </c>
      <c r="C8" s="225"/>
      <c r="D8" s="226"/>
      <c r="E8" s="227"/>
      <c r="F8" s="227"/>
      <c r="G8" s="228">
        <f>SUBTOTAL(9,G9:G1158)</f>
        <v>22040.9</v>
      </c>
      <c r="H8" s="228">
        <f t="shared" ref="H8:J8" si="0">SUBTOTAL(9,H9:H1158)</f>
        <v>7078.1999999999944</v>
      </c>
      <c r="I8" s="228">
        <f t="shared" si="0"/>
        <v>4447.3799999999992</v>
      </c>
      <c r="J8" s="228">
        <f t="shared" si="0"/>
        <v>211.32000000000019</v>
      </c>
      <c r="K8" s="228">
        <f>SUBTOTAL(9,K9:K957)</f>
        <v>618.69999999999993</v>
      </c>
      <c r="L8" s="228">
        <f>SUBTOTAL(9,L9:L957)</f>
        <v>621</v>
      </c>
      <c r="M8" s="228">
        <f>SUBTOTAL(9,M9:M957)</f>
        <v>58</v>
      </c>
      <c r="N8" s="229"/>
    </row>
    <row r="9" spans="1:14" s="236" customFormat="1" ht="15">
      <c r="A9" s="230"/>
      <c r="B9" s="231" t="s">
        <v>185</v>
      </c>
      <c r="C9" s="230"/>
      <c r="D9" s="232">
        <v>2</v>
      </c>
      <c r="E9" s="233"/>
      <c r="F9" s="233"/>
      <c r="G9" s="234">
        <f t="shared" ref="G9:M9" si="1">G12*$D9</f>
        <v>2274.8000000000006</v>
      </c>
      <c r="H9" s="234">
        <f t="shared" si="1"/>
        <v>553.20000000000005</v>
      </c>
      <c r="I9" s="234">
        <f t="shared" si="1"/>
        <v>443.52</v>
      </c>
      <c r="J9" s="234">
        <f t="shared" si="1"/>
        <v>16.559999999999999</v>
      </c>
      <c r="K9" s="234">
        <f t="shared" si="1"/>
        <v>80</v>
      </c>
      <c r="L9" s="234">
        <f t="shared" si="1"/>
        <v>80</v>
      </c>
      <c r="M9" s="234">
        <f t="shared" si="1"/>
        <v>6</v>
      </c>
      <c r="N9" s="235" t="s">
        <v>186</v>
      </c>
    </row>
    <row r="10" spans="1:14" s="236" customFormat="1" ht="15">
      <c r="A10" s="230"/>
      <c r="B10" s="231"/>
      <c r="C10" s="230"/>
      <c r="D10" s="232"/>
      <c r="E10" s="233"/>
      <c r="F10" s="233"/>
      <c r="G10" s="234"/>
      <c r="H10" s="234"/>
      <c r="I10" s="234"/>
      <c r="J10" s="234"/>
      <c r="K10" s="234"/>
      <c r="L10" s="234"/>
      <c r="M10" s="234"/>
      <c r="N10" s="235"/>
    </row>
    <row r="11" spans="1:14">
      <c r="A11" s="223"/>
      <c r="B11" s="224" t="s">
        <v>184</v>
      </c>
      <c r="C11" s="225"/>
      <c r="D11" s="226"/>
      <c r="E11" s="227"/>
      <c r="F11" s="227"/>
      <c r="G11" s="228">
        <f>SUBTOTAL(9,G12:G1158)</f>
        <v>19766.100000000002</v>
      </c>
      <c r="H11" s="228">
        <f t="shared" ref="H11:J11" si="2">SUBTOTAL(9,H12:H1158)</f>
        <v>6524.9999999999955</v>
      </c>
      <c r="I11" s="228">
        <f t="shared" si="2"/>
        <v>4003.8599999999992</v>
      </c>
      <c r="J11" s="228">
        <f t="shared" si="2"/>
        <v>194.76000000000019</v>
      </c>
      <c r="K11" s="228">
        <f>SUBTOTAL(9,K12:K960)</f>
        <v>538.69999999999993</v>
      </c>
      <c r="L11" s="228">
        <f>SUBTOTAL(9,L12:L960)</f>
        <v>541</v>
      </c>
      <c r="M11" s="228">
        <f>SUBTOTAL(9,M12:M960)</f>
        <v>52</v>
      </c>
      <c r="N11" s="229" t="s">
        <v>316</v>
      </c>
    </row>
    <row r="12" spans="1:14" s="244" customFormat="1" ht="15" collapsed="1">
      <c r="A12" s="237"/>
      <c r="B12" s="238" t="s">
        <v>187</v>
      </c>
      <c r="C12" s="237"/>
      <c r="D12" s="239">
        <v>1</v>
      </c>
      <c r="E12" s="240"/>
      <c r="F12" s="241"/>
      <c r="G12" s="242">
        <f t="shared" ref="G12:M12" si="3">SUBTOTAL(9,G13:G325)</f>
        <v>1137.4000000000003</v>
      </c>
      <c r="H12" s="242">
        <f t="shared" si="3"/>
        <v>276.60000000000002</v>
      </c>
      <c r="I12" s="242">
        <f t="shared" si="3"/>
        <v>221.76</v>
      </c>
      <c r="J12" s="242">
        <f t="shared" si="3"/>
        <v>8.2799999999999994</v>
      </c>
      <c r="K12" s="242">
        <f t="shared" si="3"/>
        <v>40</v>
      </c>
      <c r="L12" s="242">
        <f t="shared" si="3"/>
        <v>40</v>
      </c>
      <c r="M12" s="242">
        <f t="shared" si="3"/>
        <v>3</v>
      </c>
      <c r="N12" s="243"/>
    </row>
    <row r="13" spans="1:14" s="251" customFormat="1" ht="15" hidden="1" outlineLevel="1" collapsed="1">
      <c r="A13" s="245"/>
      <c r="B13" s="246" t="s">
        <v>188</v>
      </c>
      <c r="C13" s="245"/>
      <c r="D13" s="247">
        <v>1</v>
      </c>
      <c r="E13" s="248"/>
      <c r="F13" s="248"/>
      <c r="G13" s="249">
        <f t="shared" ref="G13:M13" si="4">SUBTOTAL(9,G14:G33)</f>
        <v>25.9</v>
      </c>
      <c r="H13" s="249">
        <f t="shared" si="4"/>
        <v>26.8</v>
      </c>
      <c r="I13" s="249">
        <f t="shared" si="4"/>
        <v>4.54</v>
      </c>
      <c r="J13" s="249">
        <f t="shared" si="4"/>
        <v>0.36</v>
      </c>
      <c r="K13" s="249">
        <f t="shared" si="4"/>
        <v>1</v>
      </c>
      <c r="L13" s="249">
        <f t="shared" si="4"/>
        <v>1</v>
      </c>
      <c r="M13" s="249">
        <f t="shared" si="4"/>
        <v>0</v>
      </c>
      <c r="N13" s="250"/>
    </row>
    <row r="14" spans="1:14" s="256" customFormat="1" hidden="1" outlineLevel="2">
      <c r="A14" s="178"/>
      <c r="B14" s="252" t="s">
        <v>189</v>
      </c>
      <c r="C14" s="253" t="s">
        <v>169</v>
      </c>
      <c r="D14" s="173">
        <v>1</v>
      </c>
      <c r="E14" s="252">
        <v>25.9</v>
      </c>
      <c r="F14" s="252"/>
      <c r="G14" s="254">
        <f t="shared" ref="G14:M38" si="5">IF($C14=G$5,PRODUCT($D14:$F14),"-")</f>
        <v>25.9</v>
      </c>
      <c r="H14" s="254" t="str">
        <f t="shared" si="5"/>
        <v>-</v>
      </c>
      <c r="I14" s="254" t="str">
        <f t="shared" si="5"/>
        <v>-</v>
      </c>
      <c r="J14" s="254" t="str">
        <f t="shared" si="5"/>
        <v>-</v>
      </c>
      <c r="K14" s="254" t="str">
        <f t="shared" si="5"/>
        <v>-</v>
      </c>
      <c r="L14" s="254" t="str">
        <f t="shared" si="5"/>
        <v>-</v>
      </c>
      <c r="M14" s="254" t="str">
        <f t="shared" si="5"/>
        <v>-</v>
      </c>
      <c r="N14" s="255"/>
    </row>
    <row r="15" spans="1:14" s="256" customFormat="1" hidden="1" outlineLevel="2">
      <c r="A15" s="178"/>
      <c r="B15" s="252" t="s">
        <v>190</v>
      </c>
      <c r="C15" s="253" t="s">
        <v>170</v>
      </c>
      <c r="D15" s="173">
        <v>1</v>
      </c>
      <c r="E15" s="252">
        <v>23.3</v>
      </c>
      <c r="F15" s="252"/>
      <c r="G15" s="254" t="str">
        <f t="shared" si="5"/>
        <v>-</v>
      </c>
      <c r="H15" s="254" t="str">
        <f t="shared" si="5"/>
        <v>-</v>
      </c>
      <c r="I15" s="254" t="str">
        <f t="shared" si="5"/>
        <v>-</v>
      </c>
      <c r="J15" s="254" t="str">
        <f t="shared" si="5"/>
        <v>-</v>
      </c>
      <c r="K15" s="254" t="str">
        <f t="shared" si="5"/>
        <v>-</v>
      </c>
      <c r="L15" s="254" t="str">
        <f t="shared" si="5"/>
        <v>-</v>
      </c>
      <c r="M15" s="254" t="str">
        <f t="shared" si="5"/>
        <v>-</v>
      </c>
      <c r="N15" s="255"/>
    </row>
    <row r="16" spans="1:14" s="256" customFormat="1" hidden="1" outlineLevel="2">
      <c r="A16" s="178"/>
      <c r="B16" s="257" t="s">
        <v>191</v>
      </c>
      <c r="C16" s="253" t="s">
        <v>170</v>
      </c>
      <c r="D16" s="173">
        <v>-2</v>
      </c>
      <c r="E16" s="252">
        <v>1</v>
      </c>
      <c r="F16" s="252"/>
      <c r="G16" s="254" t="str">
        <f t="shared" si="5"/>
        <v>-</v>
      </c>
      <c r="H16" s="254" t="str">
        <f t="shared" si="5"/>
        <v>-</v>
      </c>
      <c r="I16" s="254" t="str">
        <f t="shared" si="5"/>
        <v>-</v>
      </c>
      <c r="J16" s="254" t="str">
        <f t="shared" si="5"/>
        <v>-</v>
      </c>
      <c r="K16" s="254" t="str">
        <f t="shared" si="5"/>
        <v>-</v>
      </c>
      <c r="L16" s="254" t="str">
        <f t="shared" si="5"/>
        <v>-</v>
      </c>
      <c r="M16" s="254" t="str">
        <f t="shared" si="5"/>
        <v>-</v>
      </c>
      <c r="N16" s="255"/>
    </row>
    <row r="17" spans="1:14" s="256" customFormat="1" hidden="1" outlineLevel="2">
      <c r="A17" s="178"/>
      <c r="B17" s="257" t="s">
        <v>192</v>
      </c>
      <c r="C17" s="253" t="s">
        <v>170</v>
      </c>
      <c r="D17" s="173">
        <v>-1</v>
      </c>
      <c r="E17" s="252">
        <v>2.8</v>
      </c>
      <c r="F17" s="252"/>
      <c r="G17" s="254" t="str">
        <f t="shared" si="5"/>
        <v>-</v>
      </c>
      <c r="H17" s="254" t="str">
        <f t="shared" si="5"/>
        <v>-</v>
      </c>
      <c r="I17" s="254" t="str">
        <f t="shared" si="5"/>
        <v>-</v>
      </c>
      <c r="J17" s="254" t="str">
        <f t="shared" si="5"/>
        <v>-</v>
      </c>
      <c r="K17" s="254" t="str">
        <f t="shared" si="5"/>
        <v>-</v>
      </c>
      <c r="L17" s="254" t="str">
        <f t="shared" si="5"/>
        <v>-</v>
      </c>
      <c r="M17" s="254" t="str">
        <f t="shared" si="5"/>
        <v>-</v>
      </c>
      <c r="N17" s="255"/>
    </row>
    <row r="18" spans="1:14" s="256" customFormat="1" hidden="1" outlineLevel="2">
      <c r="A18" s="178"/>
      <c r="B18" s="252" t="s">
        <v>193</v>
      </c>
      <c r="C18" s="253" t="s">
        <v>171</v>
      </c>
      <c r="D18" s="173">
        <v>1</v>
      </c>
      <c r="E18" s="252">
        <v>26.8</v>
      </c>
      <c r="F18" s="252"/>
      <c r="G18" s="254" t="str">
        <f t="shared" si="5"/>
        <v>-</v>
      </c>
      <c r="H18" s="254">
        <f t="shared" si="5"/>
        <v>26.8</v>
      </c>
      <c r="I18" s="254" t="str">
        <f t="shared" si="5"/>
        <v>-</v>
      </c>
      <c r="J18" s="254" t="str">
        <f t="shared" si="5"/>
        <v>-</v>
      </c>
      <c r="K18" s="254" t="str">
        <f t="shared" si="5"/>
        <v>-</v>
      </c>
      <c r="L18" s="254" t="str">
        <f t="shared" si="5"/>
        <v>-</v>
      </c>
      <c r="M18" s="254" t="str">
        <f t="shared" si="5"/>
        <v>-</v>
      </c>
      <c r="N18" s="255"/>
    </row>
    <row r="19" spans="1:14" s="256" customFormat="1" hidden="1" outlineLevel="2">
      <c r="A19" s="178"/>
      <c r="B19" s="252" t="s">
        <v>194</v>
      </c>
      <c r="C19" s="253" t="s">
        <v>172</v>
      </c>
      <c r="D19" s="173">
        <v>1</v>
      </c>
      <c r="E19" s="252">
        <v>30</v>
      </c>
      <c r="F19" s="252"/>
      <c r="G19" s="254" t="str">
        <f t="shared" si="5"/>
        <v>-</v>
      </c>
      <c r="H19" s="254" t="str">
        <f t="shared" si="5"/>
        <v>-</v>
      </c>
      <c r="I19" s="254" t="str">
        <f t="shared" si="5"/>
        <v>-</v>
      </c>
      <c r="J19" s="254" t="str">
        <f t="shared" si="5"/>
        <v>-</v>
      </c>
      <c r="K19" s="254" t="str">
        <f t="shared" si="5"/>
        <v>-</v>
      </c>
      <c r="L19" s="254" t="str">
        <f t="shared" si="5"/>
        <v>-</v>
      </c>
      <c r="M19" s="254" t="str">
        <f t="shared" si="5"/>
        <v>-</v>
      </c>
      <c r="N19" s="255"/>
    </row>
    <row r="20" spans="1:14" s="256" customFormat="1" hidden="1" outlineLevel="2">
      <c r="A20" s="178"/>
      <c r="B20" s="257" t="s">
        <v>191</v>
      </c>
      <c r="C20" s="253" t="s">
        <v>172</v>
      </c>
      <c r="D20" s="173">
        <v>-3</v>
      </c>
      <c r="E20" s="252">
        <v>0.9</v>
      </c>
      <c r="F20" s="252"/>
      <c r="G20" s="254" t="str">
        <f t="shared" si="5"/>
        <v>-</v>
      </c>
      <c r="H20" s="254" t="str">
        <f t="shared" si="5"/>
        <v>-</v>
      </c>
      <c r="I20" s="254" t="str">
        <f t="shared" si="5"/>
        <v>-</v>
      </c>
      <c r="J20" s="254" t="str">
        <f t="shared" si="5"/>
        <v>-</v>
      </c>
      <c r="K20" s="254" t="str">
        <f t="shared" si="5"/>
        <v>-</v>
      </c>
      <c r="L20" s="254" t="str">
        <f t="shared" si="5"/>
        <v>-</v>
      </c>
      <c r="M20" s="254" t="str">
        <f t="shared" si="5"/>
        <v>-</v>
      </c>
      <c r="N20" s="255"/>
    </row>
    <row r="21" spans="1:14" s="256" customFormat="1" hidden="1" outlineLevel="2">
      <c r="A21" s="178"/>
      <c r="B21" s="257" t="s">
        <v>195</v>
      </c>
      <c r="C21" s="253" t="s">
        <v>172</v>
      </c>
      <c r="D21" s="173">
        <v>-2</v>
      </c>
      <c r="E21" s="252">
        <v>1.8</v>
      </c>
      <c r="F21" s="252"/>
      <c r="G21" s="254" t="str">
        <f t="shared" si="5"/>
        <v>-</v>
      </c>
      <c r="H21" s="254" t="str">
        <f t="shared" si="5"/>
        <v>-</v>
      </c>
      <c r="I21" s="254" t="str">
        <f t="shared" si="5"/>
        <v>-</v>
      </c>
      <c r="J21" s="254" t="str">
        <f t="shared" si="5"/>
        <v>-</v>
      </c>
      <c r="K21" s="254" t="str">
        <f t="shared" si="5"/>
        <v>-</v>
      </c>
      <c r="L21" s="254" t="str">
        <f t="shared" si="5"/>
        <v>-</v>
      </c>
      <c r="M21" s="254" t="str">
        <f t="shared" si="5"/>
        <v>-</v>
      </c>
      <c r="N21" s="255"/>
    </row>
    <row r="22" spans="1:14" s="256" customFormat="1" hidden="1" outlineLevel="2">
      <c r="A22" s="178"/>
      <c r="B22" s="252" t="s">
        <v>196</v>
      </c>
      <c r="C22" s="253" t="s">
        <v>173</v>
      </c>
      <c r="D22" s="173">
        <v>1</v>
      </c>
      <c r="E22" s="252">
        <f>4.9-0.18*2</f>
        <v>4.54</v>
      </c>
      <c r="F22" s="252"/>
      <c r="G22" s="254" t="str">
        <f t="shared" si="5"/>
        <v>-</v>
      </c>
      <c r="H22" s="254" t="str">
        <f t="shared" si="5"/>
        <v>-</v>
      </c>
      <c r="I22" s="254">
        <f t="shared" si="5"/>
        <v>4.54</v>
      </c>
      <c r="J22" s="254" t="str">
        <f t="shared" si="5"/>
        <v>-</v>
      </c>
      <c r="K22" s="254" t="str">
        <f t="shared" si="5"/>
        <v>-</v>
      </c>
      <c r="L22" s="254" t="str">
        <f t="shared" si="5"/>
        <v>-</v>
      </c>
      <c r="M22" s="254" t="str">
        <f t="shared" si="5"/>
        <v>-</v>
      </c>
      <c r="N22" s="255"/>
    </row>
    <row r="23" spans="1:14" s="256" customFormat="1" hidden="1" outlineLevel="2">
      <c r="A23" s="178"/>
      <c r="B23" s="252" t="s">
        <v>197</v>
      </c>
      <c r="C23" s="253" t="s">
        <v>175</v>
      </c>
      <c r="D23" s="173">
        <v>1</v>
      </c>
      <c r="E23" s="252">
        <f>0.3*0.6*2</f>
        <v>0.36</v>
      </c>
      <c r="F23" s="252"/>
      <c r="G23" s="254" t="str">
        <f t="shared" si="5"/>
        <v>-</v>
      </c>
      <c r="H23" s="254" t="str">
        <f t="shared" si="5"/>
        <v>-</v>
      </c>
      <c r="I23" s="254" t="str">
        <f t="shared" si="5"/>
        <v>-</v>
      </c>
      <c r="J23" s="254">
        <f t="shared" si="5"/>
        <v>0.36</v>
      </c>
      <c r="K23" s="254" t="str">
        <f t="shared" si="5"/>
        <v>-</v>
      </c>
      <c r="L23" s="254" t="str">
        <f t="shared" si="5"/>
        <v>-</v>
      </c>
      <c r="M23" s="254" t="str">
        <f t="shared" si="5"/>
        <v>-</v>
      </c>
      <c r="N23" s="255"/>
    </row>
    <row r="24" spans="1:14" s="256" customFormat="1" hidden="1" outlineLevel="2">
      <c r="A24" s="178"/>
      <c r="B24" s="252" t="s">
        <v>198</v>
      </c>
      <c r="C24" s="253" t="s">
        <v>174</v>
      </c>
      <c r="D24" s="173">
        <v>1</v>
      </c>
      <c r="E24" s="252">
        <v>12.4</v>
      </c>
      <c r="F24" s="252">
        <v>2.2999999999999998</v>
      </c>
      <c r="G24" s="254" t="str">
        <f t="shared" si="5"/>
        <v>-</v>
      </c>
      <c r="H24" s="254" t="str">
        <f t="shared" si="5"/>
        <v>-</v>
      </c>
      <c r="I24" s="254" t="str">
        <f t="shared" si="5"/>
        <v>-</v>
      </c>
      <c r="J24" s="254" t="str">
        <f t="shared" si="5"/>
        <v>-</v>
      </c>
      <c r="K24" s="254" t="str">
        <f t="shared" si="5"/>
        <v>-</v>
      </c>
      <c r="L24" s="254" t="str">
        <f t="shared" si="5"/>
        <v>-</v>
      </c>
      <c r="M24" s="254" t="str">
        <f t="shared" si="5"/>
        <v>-</v>
      </c>
      <c r="N24" s="255"/>
    </row>
    <row r="25" spans="1:14" s="256" customFormat="1" hidden="1" outlineLevel="2">
      <c r="A25" s="178"/>
      <c r="B25" s="257" t="s">
        <v>191</v>
      </c>
      <c r="C25" s="253" t="s">
        <v>174</v>
      </c>
      <c r="D25" s="173">
        <v>-1</v>
      </c>
      <c r="E25" s="252">
        <v>0.8</v>
      </c>
      <c r="F25" s="252">
        <v>2.2200000000000002</v>
      </c>
      <c r="G25" s="254" t="str">
        <f t="shared" si="5"/>
        <v>-</v>
      </c>
      <c r="H25" s="254" t="str">
        <f t="shared" si="5"/>
        <v>-</v>
      </c>
      <c r="I25" s="254" t="str">
        <f t="shared" si="5"/>
        <v>-</v>
      </c>
      <c r="J25" s="254" t="str">
        <f t="shared" si="5"/>
        <v>-</v>
      </c>
      <c r="K25" s="254" t="str">
        <f t="shared" si="5"/>
        <v>-</v>
      </c>
      <c r="L25" s="254" t="str">
        <f t="shared" si="5"/>
        <v>-</v>
      </c>
      <c r="M25" s="254" t="str">
        <f t="shared" si="5"/>
        <v>-</v>
      </c>
      <c r="N25" s="255"/>
    </row>
    <row r="26" spans="1:14" s="256" customFormat="1" hidden="1" outlineLevel="2">
      <c r="A26" s="178"/>
      <c r="B26" s="257" t="s">
        <v>199</v>
      </c>
      <c r="C26" s="253" t="s">
        <v>174</v>
      </c>
      <c r="D26" s="173">
        <v>-1</v>
      </c>
      <c r="E26" s="252">
        <v>1.45</v>
      </c>
      <c r="F26" s="252">
        <v>1.7</v>
      </c>
      <c r="G26" s="254" t="str">
        <f t="shared" si="5"/>
        <v>-</v>
      </c>
      <c r="H26" s="254" t="str">
        <f t="shared" si="5"/>
        <v>-</v>
      </c>
      <c r="I26" s="254" t="str">
        <f t="shared" si="5"/>
        <v>-</v>
      </c>
      <c r="J26" s="254" t="str">
        <f t="shared" si="5"/>
        <v>-</v>
      </c>
      <c r="K26" s="254" t="str">
        <f t="shared" si="5"/>
        <v>-</v>
      </c>
      <c r="L26" s="254" t="str">
        <f t="shared" si="5"/>
        <v>-</v>
      </c>
      <c r="M26" s="254" t="str">
        <f t="shared" si="5"/>
        <v>-</v>
      </c>
      <c r="N26" s="255"/>
    </row>
    <row r="27" spans="1:14" s="256" customFormat="1" hidden="1" outlineLevel="2">
      <c r="A27" s="178"/>
      <c r="B27" s="257" t="s">
        <v>200</v>
      </c>
      <c r="C27" s="253" t="s">
        <v>174</v>
      </c>
      <c r="D27" s="173">
        <v>-2</v>
      </c>
      <c r="E27" s="252">
        <v>0.85</v>
      </c>
      <c r="F27" s="252">
        <v>0.55000000000000004</v>
      </c>
      <c r="G27" s="254" t="str">
        <f t="shared" si="5"/>
        <v>-</v>
      </c>
      <c r="H27" s="254" t="str">
        <f t="shared" si="5"/>
        <v>-</v>
      </c>
      <c r="I27" s="254" t="str">
        <f t="shared" si="5"/>
        <v>-</v>
      </c>
      <c r="J27" s="254" t="str">
        <f t="shared" si="5"/>
        <v>-</v>
      </c>
      <c r="K27" s="254" t="str">
        <f t="shared" si="5"/>
        <v>-</v>
      </c>
      <c r="L27" s="254" t="str">
        <f t="shared" si="5"/>
        <v>-</v>
      </c>
      <c r="M27" s="254" t="str">
        <f t="shared" si="5"/>
        <v>-</v>
      </c>
      <c r="N27" s="255"/>
    </row>
    <row r="28" spans="1:14" s="256" customFormat="1" hidden="1" outlineLevel="2">
      <c r="A28" s="178"/>
      <c r="B28" s="258" t="s">
        <v>201</v>
      </c>
      <c r="C28" s="253" t="s">
        <v>174</v>
      </c>
      <c r="D28" s="173">
        <v>1</v>
      </c>
      <c r="E28" s="252">
        <v>1.85</v>
      </c>
      <c r="F28" s="252">
        <v>0.25</v>
      </c>
      <c r="G28" s="254" t="str">
        <f t="shared" si="5"/>
        <v>-</v>
      </c>
      <c r="H28" s="254" t="str">
        <f t="shared" si="5"/>
        <v>-</v>
      </c>
      <c r="I28" s="254" t="str">
        <f t="shared" si="5"/>
        <v>-</v>
      </c>
      <c r="J28" s="254" t="str">
        <f t="shared" si="5"/>
        <v>-</v>
      </c>
      <c r="K28" s="254" t="str">
        <f t="shared" si="5"/>
        <v>-</v>
      </c>
      <c r="L28" s="254" t="str">
        <f t="shared" si="5"/>
        <v>-</v>
      </c>
      <c r="M28" s="254" t="str">
        <f t="shared" si="5"/>
        <v>-</v>
      </c>
      <c r="N28" s="255"/>
    </row>
    <row r="29" spans="1:14" s="256" customFormat="1" hidden="1" outlineLevel="2">
      <c r="A29" s="178"/>
      <c r="B29" s="252" t="s">
        <v>202</v>
      </c>
      <c r="C29" s="253" t="s">
        <v>176</v>
      </c>
      <c r="D29" s="173">
        <v>1</v>
      </c>
      <c r="E29" s="252">
        <v>1.85</v>
      </c>
      <c r="F29" s="252">
        <v>0.85</v>
      </c>
      <c r="G29" s="254" t="str">
        <f t="shared" si="5"/>
        <v>-</v>
      </c>
      <c r="H29" s="254" t="str">
        <f t="shared" si="5"/>
        <v>-</v>
      </c>
      <c r="I29" s="254" t="str">
        <f t="shared" si="5"/>
        <v>-</v>
      </c>
      <c r="J29" s="254" t="str">
        <f t="shared" si="5"/>
        <v>-</v>
      </c>
      <c r="K29" s="254" t="str">
        <f t="shared" si="5"/>
        <v>-</v>
      </c>
      <c r="L29" s="254" t="str">
        <f t="shared" si="5"/>
        <v>-</v>
      </c>
      <c r="M29" s="254" t="str">
        <f t="shared" si="5"/>
        <v>-</v>
      </c>
      <c r="N29" s="255"/>
    </row>
    <row r="30" spans="1:14" s="256" customFormat="1" hidden="1" outlineLevel="2">
      <c r="A30" s="178"/>
      <c r="B30" s="257" t="s">
        <v>203</v>
      </c>
      <c r="C30" s="253" t="s">
        <v>176</v>
      </c>
      <c r="D30" s="173">
        <v>-1</v>
      </c>
      <c r="E30" s="252">
        <v>1.45</v>
      </c>
      <c r="F30" s="252">
        <v>0.6</v>
      </c>
      <c r="G30" s="254" t="str">
        <f t="shared" si="5"/>
        <v>-</v>
      </c>
      <c r="H30" s="254" t="str">
        <f t="shared" si="5"/>
        <v>-</v>
      </c>
      <c r="I30" s="254" t="str">
        <f t="shared" si="5"/>
        <v>-</v>
      </c>
      <c r="J30" s="254" t="str">
        <f t="shared" si="5"/>
        <v>-</v>
      </c>
      <c r="K30" s="254" t="str">
        <f t="shared" si="5"/>
        <v>-</v>
      </c>
      <c r="L30" s="254" t="str">
        <f t="shared" si="5"/>
        <v>-</v>
      </c>
      <c r="M30" s="254" t="str">
        <f t="shared" si="5"/>
        <v>-</v>
      </c>
      <c r="N30" s="255"/>
    </row>
    <row r="31" spans="1:14" s="256" customFormat="1" hidden="1" outlineLevel="2">
      <c r="A31" s="178"/>
      <c r="B31" s="258" t="s">
        <v>204</v>
      </c>
      <c r="C31" s="253" t="s">
        <v>177</v>
      </c>
      <c r="D31" s="173">
        <v>1</v>
      </c>
      <c r="E31" s="252"/>
      <c r="F31" s="252"/>
      <c r="G31" s="254" t="str">
        <f t="shared" si="5"/>
        <v>-</v>
      </c>
      <c r="H31" s="254" t="str">
        <f t="shared" si="5"/>
        <v>-</v>
      </c>
      <c r="I31" s="254" t="str">
        <f t="shared" si="5"/>
        <v>-</v>
      </c>
      <c r="J31" s="254" t="str">
        <f t="shared" si="5"/>
        <v>-</v>
      </c>
      <c r="K31" s="254">
        <f t="shared" si="5"/>
        <v>1</v>
      </c>
      <c r="L31" s="254" t="str">
        <f t="shared" si="5"/>
        <v>-</v>
      </c>
      <c r="M31" s="254" t="str">
        <f t="shared" si="5"/>
        <v>-</v>
      </c>
      <c r="N31" s="255"/>
    </row>
    <row r="32" spans="1:14" s="256" customFormat="1" hidden="1" outlineLevel="2">
      <c r="A32" s="178"/>
      <c r="B32" s="258" t="s">
        <v>205</v>
      </c>
      <c r="C32" s="253" t="s">
        <v>178</v>
      </c>
      <c r="D32" s="173">
        <v>1</v>
      </c>
      <c r="E32" s="252"/>
      <c r="F32" s="252"/>
      <c r="G32" s="254" t="str">
        <f t="shared" si="5"/>
        <v>-</v>
      </c>
      <c r="H32" s="254" t="str">
        <f t="shared" si="5"/>
        <v>-</v>
      </c>
      <c r="I32" s="254" t="str">
        <f t="shared" si="5"/>
        <v>-</v>
      </c>
      <c r="J32" s="254" t="str">
        <f t="shared" si="5"/>
        <v>-</v>
      </c>
      <c r="K32" s="254" t="str">
        <f t="shared" si="5"/>
        <v>-</v>
      </c>
      <c r="L32" s="254">
        <f t="shared" si="5"/>
        <v>1</v>
      </c>
      <c r="M32" s="254" t="str">
        <f t="shared" si="5"/>
        <v>-</v>
      </c>
      <c r="N32" s="255"/>
    </row>
    <row r="33" spans="1:14" s="256" customFormat="1" hidden="1" outlineLevel="2">
      <c r="A33" s="259"/>
      <c r="B33" s="252"/>
      <c r="C33" s="253"/>
      <c r="D33" s="173"/>
      <c r="E33" s="252"/>
      <c r="F33" s="252"/>
      <c r="G33" s="254" t="str">
        <f t="shared" si="5"/>
        <v>-</v>
      </c>
      <c r="H33" s="254" t="str">
        <f t="shared" si="5"/>
        <v>-</v>
      </c>
      <c r="I33" s="254" t="str">
        <f t="shared" si="5"/>
        <v>-</v>
      </c>
      <c r="J33" s="254" t="str">
        <f t="shared" si="5"/>
        <v>-</v>
      </c>
      <c r="K33" s="254" t="str">
        <f t="shared" si="5"/>
        <v>-</v>
      </c>
      <c r="L33" s="254" t="str">
        <f t="shared" si="5"/>
        <v>-</v>
      </c>
      <c r="M33" s="254" t="str">
        <f t="shared" si="5"/>
        <v>-</v>
      </c>
      <c r="N33" s="255"/>
    </row>
    <row r="34" spans="1:14" s="251" customFormat="1" ht="15" hidden="1" outlineLevel="1" collapsed="1">
      <c r="A34" s="245"/>
      <c r="B34" s="246" t="s">
        <v>206</v>
      </c>
      <c r="C34" s="245"/>
      <c r="D34" s="247">
        <v>1</v>
      </c>
      <c r="E34" s="248"/>
      <c r="F34" s="248"/>
      <c r="G34" s="249">
        <f t="shared" ref="G34:M34" si="6">SUBTOTAL(9,G35:G52)</f>
        <v>39.5</v>
      </c>
      <c r="H34" s="249">
        <f t="shared" si="6"/>
        <v>0</v>
      </c>
      <c r="I34" s="249">
        <f t="shared" si="6"/>
        <v>6.04</v>
      </c>
      <c r="J34" s="249">
        <f t="shared" si="6"/>
        <v>0.36</v>
      </c>
      <c r="K34" s="249">
        <f t="shared" si="6"/>
        <v>1</v>
      </c>
      <c r="L34" s="249">
        <f t="shared" si="6"/>
        <v>1</v>
      </c>
      <c r="M34" s="249">
        <f t="shared" si="6"/>
        <v>1</v>
      </c>
      <c r="N34" s="250"/>
    </row>
    <row r="35" spans="1:14" s="256" customFormat="1" hidden="1" outlineLevel="2">
      <c r="A35" s="178"/>
      <c r="B35" s="252" t="s">
        <v>189</v>
      </c>
      <c r="C35" s="253" t="s">
        <v>169</v>
      </c>
      <c r="D35" s="173">
        <v>1</v>
      </c>
      <c r="E35" s="252">
        <f>18.4+21.1</f>
        <v>39.5</v>
      </c>
      <c r="F35" s="252"/>
      <c r="G35" s="254">
        <f t="shared" si="5"/>
        <v>39.5</v>
      </c>
      <c r="H35" s="254" t="str">
        <f t="shared" si="5"/>
        <v>-</v>
      </c>
      <c r="I35" s="254" t="str">
        <f t="shared" si="5"/>
        <v>-</v>
      </c>
      <c r="J35" s="254" t="str">
        <f t="shared" si="5"/>
        <v>-</v>
      </c>
      <c r="K35" s="254" t="str">
        <f t="shared" si="5"/>
        <v>-</v>
      </c>
      <c r="L35" s="254" t="str">
        <f t="shared" si="5"/>
        <v>-</v>
      </c>
      <c r="M35" s="254" t="str">
        <f t="shared" si="5"/>
        <v>-</v>
      </c>
      <c r="N35" s="255"/>
    </row>
    <row r="36" spans="1:14" s="256" customFormat="1" hidden="1" outlineLevel="2">
      <c r="A36" s="178"/>
      <c r="B36" s="252" t="s">
        <v>190</v>
      </c>
      <c r="C36" s="253" t="s">
        <v>170</v>
      </c>
      <c r="D36" s="173">
        <v>1</v>
      </c>
      <c r="E36" s="252">
        <f>26.2+21.7</f>
        <v>47.9</v>
      </c>
      <c r="F36" s="252"/>
      <c r="G36" s="254" t="str">
        <f t="shared" si="5"/>
        <v>-</v>
      </c>
      <c r="H36" s="254" t="str">
        <f t="shared" si="5"/>
        <v>-</v>
      </c>
      <c r="I36" s="254" t="str">
        <f t="shared" si="5"/>
        <v>-</v>
      </c>
      <c r="J36" s="254" t="str">
        <f t="shared" si="5"/>
        <v>-</v>
      </c>
      <c r="K36" s="254" t="str">
        <f t="shared" si="5"/>
        <v>-</v>
      </c>
      <c r="L36" s="254" t="str">
        <f t="shared" si="5"/>
        <v>-</v>
      </c>
      <c r="M36" s="254" t="str">
        <f t="shared" si="5"/>
        <v>-</v>
      </c>
      <c r="N36" s="255"/>
    </row>
    <row r="37" spans="1:14" s="256" customFormat="1" hidden="1" outlineLevel="2">
      <c r="A37" s="178"/>
      <c r="B37" s="257" t="s">
        <v>191</v>
      </c>
      <c r="C37" s="253" t="s">
        <v>170</v>
      </c>
      <c r="D37" s="173">
        <v>-4</v>
      </c>
      <c r="E37" s="252">
        <v>0.9</v>
      </c>
      <c r="F37" s="252"/>
      <c r="G37" s="254" t="str">
        <f t="shared" si="5"/>
        <v>-</v>
      </c>
      <c r="H37" s="254" t="str">
        <f t="shared" si="5"/>
        <v>-</v>
      </c>
      <c r="I37" s="254" t="str">
        <f t="shared" si="5"/>
        <v>-</v>
      </c>
      <c r="J37" s="254" t="str">
        <f t="shared" si="5"/>
        <v>-</v>
      </c>
      <c r="K37" s="254" t="str">
        <f t="shared" si="5"/>
        <v>-</v>
      </c>
      <c r="L37" s="254" t="str">
        <f t="shared" si="5"/>
        <v>-</v>
      </c>
      <c r="M37" s="254" t="str">
        <f t="shared" si="5"/>
        <v>-</v>
      </c>
      <c r="N37" s="255"/>
    </row>
    <row r="38" spans="1:14" s="256" customFormat="1" hidden="1" outlineLevel="2">
      <c r="A38" s="178"/>
      <c r="B38" s="257" t="s">
        <v>191</v>
      </c>
      <c r="C38" s="253" t="s">
        <v>170</v>
      </c>
      <c r="D38" s="173">
        <v>-1</v>
      </c>
      <c r="E38" s="252">
        <v>1.25</v>
      </c>
      <c r="F38" s="252"/>
      <c r="G38" s="254" t="str">
        <f t="shared" si="5"/>
        <v>-</v>
      </c>
      <c r="H38" s="254" t="str">
        <f t="shared" ref="G38:M62" si="7">IF($C38=H$5,PRODUCT($D38:$F38),"-")</f>
        <v>-</v>
      </c>
      <c r="I38" s="254" t="str">
        <f t="shared" si="7"/>
        <v>-</v>
      </c>
      <c r="J38" s="254" t="str">
        <f t="shared" si="7"/>
        <v>-</v>
      </c>
      <c r="K38" s="254" t="str">
        <f t="shared" si="7"/>
        <v>-</v>
      </c>
      <c r="L38" s="254" t="str">
        <f t="shared" si="7"/>
        <v>-</v>
      </c>
      <c r="M38" s="254" t="str">
        <f t="shared" si="7"/>
        <v>-</v>
      </c>
      <c r="N38" s="255"/>
    </row>
    <row r="39" spans="1:14" s="256" customFormat="1" hidden="1" outlineLevel="2">
      <c r="A39" s="178"/>
      <c r="B39" s="257" t="s">
        <v>192</v>
      </c>
      <c r="C39" s="253" t="s">
        <v>170</v>
      </c>
      <c r="D39" s="173">
        <v>-2</v>
      </c>
      <c r="E39" s="252">
        <v>2.8</v>
      </c>
      <c r="F39" s="252"/>
      <c r="G39" s="254" t="str">
        <f t="shared" si="7"/>
        <v>-</v>
      </c>
      <c r="H39" s="254" t="str">
        <f t="shared" si="7"/>
        <v>-</v>
      </c>
      <c r="I39" s="254" t="str">
        <f t="shared" si="7"/>
        <v>-</v>
      </c>
      <c r="J39" s="254" t="str">
        <f t="shared" si="7"/>
        <v>-</v>
      </c>
      <c r="K39" s="254" t="str">
        <f t="shared" si="7"/>
        <v>-</v>
      </c>
      <c r="L39" s="254" t="str">
        <f t="shared" si="7"/>
        <v>-</v>
      </c>
      <c r="M39" s="254" t="str">
        <f t="shared" si="7"/>
        <v>-</v>
      </c>
      <c r="N39" s="255"/>
    </row>
    <row r="40" spans="1:14" s="256" customFormat="1" hidden="1" outlineLevel="2">
      <c r="A40" s="178"/>
      <c r="B40" s="252" t="s">
        <v>196</v>
      </c>
      <c r="C40" s="253" t="s">
        <v>173</v>
      </c>
      <c r="D40" s="173">
        <v>1</v>
      </c>
      <c r="E40" s="252">
        <f>6.4-0.18*2</f>
        <v>6.04</v>
      </c>
      <c r="F40" s="252"/>
      <c r="G40" s="254" t="str">
        <f t="shared" si="7"/>
        <v>-</v>
      </c>
      <c r="H40" s="254" t="str">
        <f t="shared" si="7"/>
        <v>-</v>
      </c>
      <c r="I40" s="254">
        <f t="shared" si="7"/>
        <v>6.04</v>
      </c>
      <c r="J40" s="254" t="str">
        <f t="shared" si="7"/>
        <v>-</v>
      </c>
      <c r="K40" s="254" t="str">
        <f t="shared" si="7"/>
        <v>-</v>
      </c>
      <c r="L40" s="254" t="str">
        <f t="shared" si="7"/>
        <v>-</v>
      </c>
      <c r="M40" s="254" t="str">
        <f t="shared" si="7"/>
        <v>-</v>
      </c>
      <c r="N40" s="255"/>
    </row>
    <row r="41" spans="1:14" s="256" customFormat="1" hidden="1" outlineLevel="2">
      <c r="A41" s="178"/>
      <c r="B41" s="252" t="s">
        <v>197</v>
      </c>
      <c r="C41" s="253" t="s">
        <v>175</v>
      </c>
      <c r="D41" s="173">
        <v>1</v>
      </c>
      <c r="E41" s="252">
        <f>0.3*0.6*2</f>
        <v>0.36</v>
      </c>
      <c r="F41" s="252"/>
      <c r="G41" s="254" t="str">
        <f t="shared" si="7"/>
        <v>-</v>
      </c>
      <c r="H41" s="254" t="str">
        <f t="shared" si="7"/>
        <v>-</v>
      </c>
      <c r="I41" s="254" t="str">
        <f t="shared" si="7"/>
        <v>-</v>
      </c>
      <c r="J41" s="254">
        <f t="shared" si="7"/>
        <v>0.36</v>
      </c>
      <c r="K41" s="254" t="str">
        <f t="shared" si="7"/>
        <v>-</v>
      </c>
      <c r="L41" s="254" t="str">
        <f t="shared" si="7"/>
        <v>-</v>
      </c>
      <c r="M41" s="254" t="str">
        <f t="shared" si="7"/>
        <v>-</v>
      </c>
      <c r="N41" s="255"/>
    </row>
    <row r="42" spans="1:14" s="256" customFormat="1" hidden="1" outlineLevel="2">
      <c r="A42" s="178"/>
      <c r="B42" s="252" t="s">
        <v>198</v>
      </c>
      <c r="C42" s="253" t="s">
        <v>174</v>
      </c>
      <c r="D42" s="173">
        <v>1</v>
      </c>
      <c r="E42" s="252">
        <v>16.2</v>
      </c>
      <c r="F42" s="252">
        <v>2.2999999999999998</v>
      </c>
      <c r="G42" s="254" t="str">
        <f t="shared" si="7"/>
        <v>-</v>
      </c>
      <c r="H42" s="254" t="str">
        <f t="shared" si="7"/>
        <v>-</v>
      </c>
      <c r="I42" s="254" t="str">
        <f t="shared" si="7"/>
        <v>-</v>
      </c>
      <c r="J42" s="254" t="str">
        <f t="shared" si="7"/>
        <v>-</v>
      </c>
      <c r="K42" s="254" t="str">
        <f t="shared" si="7"/>
        <v>-</v>
      </c>
      <c r="L42" s="254" t="str">
        <f t="shared" si="7"/>
        <v>-</v>
      </c>
      <c r="M42" s="254" t="str">
        <f t="shared" si="7"/>
        <v>-</v>
      </c>
      <c r="N42" s="255"/>
    </row>
    <row r="43" spans="1:14" s="256" customFormat="1" hidden="1" outlineLevel="2">
      <c r="A43" s="178"/>
      <c r="B43" s="257" t="s">
        <v>191</v>
      </c>
      <c r="C43" s="253" t="s">
        <v>174</v>
      </c>
      <c r="D43" s="173">
        <v>-1</v>
      </c>
      <c r="E43" s="252">
        <v>0.8</v>
      </c>
      <c r="F43" s="252">
        <v>2.2200000000000002</v>
      </c>
      <c r="G43" s="254" t="str">
        <f t="shared" si="7"/>
        <v>-</v>
      </c>
      <c r="H43" s="254" t="str">
        <f t="shared" si="7"/>
        <v>-</v>
      </c>
      <c r="I43" s="254" t="str">
        <f t="shared" si="7"/>
        <v>-</v>
      </c>
      <c r="J43" s="254" t="str">
        <f t="shared" si="7"/>
        <v>-</v>
      </c>
      <c r="K43" s="254" t="str">
        <f t="shared" si="7"/>
        <v>-</v>
      </c>
      <c r="L43" s="254" t="str">
        <f t="shared" si="7"/>
        <v>-</v>
      </c>
      <c r="M43" s="254" t="str">
        <f t="shared" si="7"/>
        <v>-</v>
      </c>
      <c r="N43" s="255"/>
    </row>
    <row r="44" spans="1:14" s="256" customFormat="1" hidden="1" outlineLevel="2">
      <c r="A44" s="178"/>
      <c r="B44" s="257" t="s">
        <v>207</v>
      </c>
      <c r="C44" s="253" t="s">
        <v>174</v>
      </c>
      <c r="D44" s="173">
        <v>-1</v>
      </c>
      <c r="E44" s="252">
        <f>2.17+1.27</f>
        <v>3.44</v>
      </c>
      <c r="F44" s="252">
        <v>1.6</v>
      </c>
      <c r="G44" s="254" t="str">
        <f t="shared" si="7"/>
        <v>-</v>
      </c>
      <c r="H44" s="254" t="str">
        <f t="shared" si="7"/>
        <v>-</v>
      </c>
      <c r="I44" s="254" t="str">
        <f t="shared" si="7"/>
        <v>-</v>
      </c>
      <c r="J44" s="254" t="str">
        <f t="shared" si="7"/>
        <v>-</v>
      </c>
      <c r="K44" s="254" t="str">
        <f t="shared" si="7"/>
        <v>-</v>
      </c>
      <c r="L44" s="254" t="str">
        <f t="shared" si="7"/>
        <v>-</v>
      </c>
      <c r="M44" s="254" t="str">
        <f t="shared" si="7"/>
        <v>-</v>
      </c>
      <c r="N44" s="255"/>
    </row>
    <row r="45" spans="1:14" s="256" customFormat="1" hidden="1" outlineLevel="2">
      <c r="A45" s="178"/>
      <c r="B45" s="257" t="s">
        <v>200</v>
      </c>
      <c r="C45" s="253" t="s">
        <v>174</v>
      </c>
      <c r="D45" s="173">
        <v>1</v>
      </c>
      <c r="E45" s="252">
        <f>5.33-1.8</f>
        <v>3.5300000000000002</v>
      </c>
      <c r="F45" s="252">
        <v>0.55000000000000004</v>
      </c>
      <c r="G45" s="254" t="str">
        <f t="shared" si="7"/>
        <v>-</v>
      </c>
      <c r="H45" s="254" t="str">
        <f t="shared" si="7"/>
        <v>-</v>
      </c>
      <c r="I45" s="254" t="str">
        <f t="shared" si="7"/>
        <v>-</v>
      </c>
      <c r="J45" s="254" t="str">
        <f t="shared" si="7"/>
        <v>-</v>
      </c>
      <c r="K45" s="254" t="str">
        <f t="shared" si="7"/>
        <v>-</v>
      </c>
      <c r="L45" s="254" t="str">
        <f t="shared" si="7"/>
        <v>-</v>
      </c>
      <c r="M45" s="254" t="str">
        <f t="shared" si="7"/>
        <v>-</v>
      </c>
      <c r="N45" s="255"/>
    </row>
    <row r="46" spans="1:14" s="256" customFormat="1" hidden="1" outlineLevel="2">
      <c r="A46" s="178"/>
      <c r="B46" s="258" t="s">
        <v>201</v>
      </c>
      <c r="C46" s="253" t="s">
        <v>174</v>
      </c>
      <c r="D46" s="173">
        <v>1</v>
      </c>
      <c r="E46" s="252">
        <f>E44+0.4</f>
        <v>3.84</v>
      </c>
      <c r="F46" s="252">
        <v>0.25</v>
      </c>
      <c r="G46" s="254" t="str">
        <f t="shared" si="7"/>
        <v>-</v>
      </c>
      <c r="H46" s="254" t="str">
        <f t="shared" si="7"/>
        <v>-</v>
      </c>
      <c r="I46" s="254" t="str">
        <f t="shared" si="7"/>
        <v>-</v>
      </c>
      <c r="J46" s="254" t="str">
        <f t="shared" si="7"/>
        <v>-</v>
      </c>
      <c r="K46" s="254" t="str">
        <f t="shared" si="7"/>
        <v>-</v>
      </c>
      <c r="L46" s="254" t="str">
        <f t="shared" si="7"/>
        <v>-</v>
      </c>
      <c r="M46" s="254" t="str">
        <f t="shared" si="7"/>
        <v>-</v>
      </c>
      <c r="N46" s="255"/>
    </row>
    <row r="47" spans="1:14" s="256" customFormat="1" hidden="1" outlineLevel="2">
      <c r="A47" s="178"/>
      <c r="B47" s="252" t="s">
        <v>202</v>
      </c>
      <c r="C47" s="253" t="s">
        <v>176</v>
      </c>
      <c r="D47" s="173">
        <v>1</v>
      </c>
      <c r="E47" s="252">
        <v>2.15</v>
      </c>
      <c r="F47" s="252">
        <v>1.1499999999999999</v>
      </c>
      <c r="G47" s="254" t="str">
        <f t="shared" si="7"/>
        <v>-</v>
      </c>
      <c r="H47" s="254" t="str">
        <f t="shared" si="7"/>
        <v>-</v>
      </c>
      <c r="I47" s="254" t="str">
        <f t="shared" si="7"/>
        <v>-</v>
      </c>
      <c r="J47" s="254" t="str">
        <f t="shared" si="7"/>
        <v>-</v>
      </c>
      <c r="K47" s="254" t="str">
        <f t="shared" si="7"/>
        <v>-</v>
      </c>
      <c r="L47" s="254" t="str">
        <f t="shared" si="7"/>
        <v>-</v>
      </c>
      <c r="M47" s="254" t="str">
        <f t="shared" si="7"/>
        <v>-</v>
      </c>
      <c r="N47" s="255"/>
    </row>
    <row r="48" spans="1:14" s="256" customFormat="1" hidden="1" outlineLevel="2">
      <c r="A48" s="178"/>
      <c r="B48" s="257" t="s">
        <v>203</v>
      </c>
      <c r="C48" s="253" t="s">
        <v>176</v>
      </c>
      <c r="D48" s="173">
        <v>-1</v>
      </c>
      <c r="E48" s="252">
        <v>1.65</v>
      </c>
      <c r="F48" s="252">
        <v>0.7</v>
      </c>
      <c r="G48" s="254" t="str">
        <f t="shared" si="7"/>
        <v>-</v>
      </c>
      <c r="H48" s="254" t="str">
        <f t="shared" si="7"/>
        <v>-</v>
      </c>
      <c r="I48" s="254" t="str">
        <f t="shared" si="7"/>
        <v>-</v>
      </c>
      <c r="J48" s="254" t="str">
        <f t="shared" si="7"/>
        <v>-</v>
      </c>
      <c r="K48" s="254" t="str">
        <f t="shared" si="7"/>
        <v>-</v>
      </c>
      <c r="L48" s="254" t="str">
        <f t="shared" si="7"/>
        <v>-</v>
      </c>
      <c r="M48" s="254" t="str">
        <f t="shared" si="7"/>
        <v>-</v>
      </c>
      <c r="N48" s="255"/>
    </row>
    <row r="49" spans="1:14" s="256" customFormat="1" hidden="1" outlineLevel="2">
      <c r="A49" s="178"/>
      <c r="B49" s="252" t="s">
        <v>204</v>
      </c>
      <c r="C49" s="253" t="s">
        <v>177</v>
      </c>
      <c r="D49" s="173">
        <v>1</v>
      </c>
      <c r="E49" s="252"/>
      <c r="F49" s="252"/>
      <c r="G49" s="254" t="str">
        <f t="shared" si="7"/>
        <v>-</v>
      </c>
      <c r="H49" s="254" t="str">
        <f t="shared" si="7"/>
        <v>-</v>
      </c>
      <c r="I49" s="254" t="str">
        <f t="shared" si="7"/>
        <v>-</v>
      </c>
      <c r="J49" s="254" t="str">
        <f t="shared" si="7"/>
        <v>-</v>
      </c>
      <c r="K49" s="254">
        <f t="shared" si="7"/>
        <v>1</v>
      </c>
      <c r="L49" s="254" t="str">
        <f t="shared" si="7"/>
        <v>-</v>
      </c>
      <c r="M49" s="254" t="str">
        <f t="shared" si="7"/>
        <v>-</v>
      </c>
      <c r="N49" s="255"/>
    </row>
    <row r="50" spans="1:14" s="256" customFormat="1" hidden="1" outlineLevel="2">
      <c r="A50" s="178"/>
      <c r="B50" s="252" t="s">
        <v>205</v>
      </c>
      <c r="C50" s="253" t="s">
        <v>178</v>
      </c>
      <c r="D50" s="173">
        <v>1</v>
      </c>
      <c r="E50" s="252"/>
      <c r="F50" s="252"/>
      <c r="G50" s="254" t="str">
        <f t="shared" si="7"/>
        <v>-</v>
      </c>
      <c r="H50" s="254" t="str">
        <f t="shared" si="7"/>
        <v>-</v>
      </c>
      <c r="I50" s="254" t="str">
        <f t="shared" si="7"/>
        <v>-</v>
      </c>
      <c r="J50" s="254" t="str">
        <f t="shared" si="7"/>
        <v>-</v>
      </c>
      <c r="K50" s="254" t="str">
        <f t="shared" si="7"/>
        <v>-</v>
      </c>
      <c r="L50" s="254">
        <f t="shared" si="7"/>
        <v>1</v>
      </c>
      <c r="M50" s="254" t="str">
        <f t="shared" si="7"/>
        <v>-</v>
      </c>
      <c r="N50" s="255"/>
    </row>
    <row r="51" spans="1:14" s="256" customFormat="1" hidden="1" outlineLevel="2">
      <c r="A51" s="178"/>
      <c r="B51" s="252" t="s">
        <v>208</v>
      </c>
      <c r="C51" s="253" t="s">
        <v>179</v>
      </c>
      <c r="D51" s="173">
        <v>1</v>
      </c>
      <c r="E51" s="252"/>
      <c r="F51" s="252"/>
      <c r="G51" s="254" t="str">
        <f t="shared" si="7"/>
        <v>-</v>
      </c>
      <c r="H51" s="254" t="str">
        <f t="shared" si="7"/>
        <v>-</v>
      </c>
      <c r="I51" s="254" t="str">
        <f t="shared" si="7"/>
        <v>-</v>
      </c>
      <c r="J51" s="254" t="str">
        <f t="shared" si="7"/>
        <v>-</v>
      </c>
      <c r="K51" s="254" t="str">
        <f t="shared" si="7"/>
        <v>-</v>
      </c>
      <c r="L51" s="254" t="str">
        <f t="shared" si="7"/>
        <v>-</v>
      </c>
      <c r="M51" s="254">
        <f t="shared" si="7"/>
        <v>1</v>
      </c>
      <c r="N51" s="255"/>
    </row>
    <row r="52" spans="1:14" s="256" customFormat="1" hidden="1" outlineLevel="2">
      <c r="A52" s="259"/>
      <c r="B52" s="252"/>
      <c r="C52" s="253"/>
      <c r="D52" s="173"/>
      <c r="E52" s="252"/>
      <c r="F52" s="252"/>
      <c r="G52" s="254" t="str">
        <f t="shared" si="7"/>
        <v>-</v>
      </c>
      <c r="H52" s="254" t="str">
        <f t="shared" si="7"/>
        <v>-</v>
      </c>
      <c r="I52" s="254" t="str">
        <f t="shared" si="7"/>
        <v>-</v>
      </c>
      <c r="J52" s="254" t="str">
        <f t="shared" si="7"/>
        <v>-</v>
      </c>
      <c r="K52" s="254" t="str">
        <f t="shared" si="7"/>
        <v>-</v>
      </c>
      <c r="L52" s="254" t="str">
        <f t="shared" si="7"/>
        <v>-</v>
      </c>
      <c r="M52" s="254" t="str">
        <f t="shared" si="7"/>
        <v>-</v>
      </c>
      <c r="N52" s="255"/>
    </row>
    <row r="53" spans="1:14" s="251" customFormat="1" ht="15" hidden="1" outlineLevel="1" collapsed="1">
      <c r="A53" s="245"/>
      <c r="B53" s="246" t="s">
        <v>209</v>
      </c>
      <c r="C53" s="245"/>
      <c r="D53" s="247">
        <v>1</v>
      </c>
      <c r="E53" s="248"/>
      <c r="F53" s="248"/>
      <c r="G53" s="249">
        <f>SUBTOTAL(9,G54:G73)</f>
        <v>20.2</v>
      </c>
      <c r="H53" s="249">
        <f t="shared" ref="H53:M53" si="8">SUBTOTAL(9,H54:H73)</f>
        <v>5.9</v>
      </c>
      <c r="I53" s="249">
        <f t="shared" si="8"/>
        <v>21.6</v>
      </c>
      <c r="J53" s="249">
        <f t="shared" si="8"/>
        <v>0.36</v>
      </c>
      <c r="K53" s="249">
        <f t="shared" si="8"/>
        <v>1</v>
      </c>
      <c r="L53" s="249">
        <f t="shared" si="8"/>
        <v>1</v>
      </c>
      <c r="M53" s="249">
        <f t="shared" si="8"/>
        <v>0</v>
      </c>
      <c r="N53" s="250"/>
    </row>
    <row r="54" spans="1:14" s="256" customFormat="1" hidden="1" outlineLevel="2">
      <c r="A54" s="178"/>
      <c r="B54" s="252" t="s">
        <v>189</v>
      </c>
      <c r="C54" s="253" t="s">
        <v>169</v>
      </c>
      <c r="D54" s="173">
        <v>1</v>
      </c>
      <c r="E54" s="252">
        <v>20.2</v>
      </c>
      <c r="F54" s="252"/>
      <c r="G54" s="254">
        <f t="shared" si="7"/>
        <v>20.2</v>
      </c>
      <c r="H54" s="254" t="str">
        <f t="shared" si="7"/>
        <v>-</v>
      </c>
      <c r="I54" s="254" t="str">
        <f t="shared" si="7"/>
        <v>-</v>
      </c>
      <c r="J54" s="254" t="str">
        <f t="shared" si="7"/>
        <v>-</v>
      </c>
      <c r="K54" s="254" t="str">
        <f t="shared" si="7"/>
        <v>-</v>
      </c>
      <c r="L54" s="254" t="str">
        <f t="shared" si="7"/>
        <v>-</v>
      </c>
      <c r="M54" s="254" t="str">
        <f t="shared" si="7"/>
        <v>-</v>
      </c>
      <c r="N54" s="255"/>
    </row>
    <row r="55" spans="1:14" s="256" customFormat="1" hidden="1" outlineLevel="2">
      <c r="A55" s="178"/>
      <c r="B55" s="252" t="s">
        <v>190</v>
      </c>
      <c r="C55" s="253" t="s">
        <v>170</v>
      </c>
      <c r="D55" s="173">
        <v>1</v>
      </c>
      <c r="E55" s="252">
        <v>19.7</v>
      </c>
      <c r="F55" s="252"/>
      <c r="G55" s="254" t="str">
        <f t="shared" si="7"/>
        <v>-</v>
      </c>
      <c r="H55" s="254" t="str">
        <f t="shared" si="7"/>
        <v>-</v>
      </c>
      <c r="I55" s="254" t="str">
        <f t="shared" si="7"/>
        <v>-</v>
      </c>
      <c r="J55" s="254" t="str">
        <f t="shared" si="7"/>
        <v>-</v>
      </c>
      <c r="K55" s="254" t="str">
        <f t="shared" si="7"/>
        <v>-</v>
      </c>
      <c r="L55" s="254" t="str">
        <f t="shared" si="7"/>
        <v>-</v>
      </c>
      <c r="M55" s="254" t="str">
        <f t="shared" si="7"/>
        <v>-</v>
      </c>
      <c r="N55" s="255"/>
    </row>
    <row r="56" spans="1:14" s="256" customFormat="1" hidden="1" outlineLevel="2">
      <c r="A56" s="178"/>
      <c r="B56" s="257" t="s">
        <v>191</v>
      </c>
      <c r="C56" s="253" t="s">
        <v>170</v>
      </c>
      <c r="D56" s="173">
        <v>-1</v>
      </c>
      <c r="E56" s="252">
        <f>1.2+0.8*2</f>
        <v>2.8</v>
      </c>
      <c r="F56" s="252"/>
      <c r="G56" s="254" t="str">
        <f t="shared" si="7"/>
        <v>-</v>
      </c>
      <c r="H56" s="254" t="str">
        <f t="shared" si="7"/>
        <v>-</v>
      </c>
      <c r="I56" s="254" t="str">
        <f t="shared" si="7"/>
        <v>-</v>
      </c>
      <c r="J56" s="254" t="str">
        <f t="shared" si="7"/>
        <v>-</v>
      </c>
      <c r="K56" s="254" t="str">
        <f t="shared" si="7"/>
        <v>-</v>
      </c>
      <c r="L56" s="254" t="str">
        <f t="shared" si="7"/>
        <v>-</v>
      </c>
      <c r="M56" s="254" t="str">
        <f t="shared" si="7"/>
        <v>-</v>
      </c>
      <c r="N56" s="255"/>
    </row>
    <row r="57" spans="1:14" s="256" customFormat="1" hidden="1" outlineLevel="2">
      <c r="A57" s="178"/>
      <c r="B57" s="257" t="s">
        <v>192</v>
      </c>
      <c r="C57" s="253" t="s">
        <v>170</v>
      </c>
      <c r="D57" s="173">
        <v>-1</v>
      </c>
      <c r="E57" s="252">
        <v>2.8</v>
      </c>
      <c r="F57" s="252"/>
      <c r="G57" s="254" t="str">
        <f t="shared" si="7"/>
        <v>-</v>
      </c>
      <c r="H57" s="254" t="str">
        <f t="shared" si="7"/>
        <v>-</v>
      </c>
      <c r="I57" s="254" t="str">
        <f t="shared" si="7"/>
        <v>-</v>
      </c>
      <c r="J57" s="254" t="str">
        <f t="shared" si="7"/>
        <v>-</v>
      </c>
      <c r="K57" s="254" t="str">
        <f t="shared" si="7"/>
        <v>-</v>
      </c>
      <c r="L57" s="254" t="str">
        <f t="shared" si="7"/>
        <v>-</v>
      </c>
      <c r="M57" s="254" t="str">
        <f t="shared" si="7"/>
        <v>-</v>
      </c>
      <c r="N57" s="255"/>
    </row>
    <row r="58" spans="1:14" s="256" customFormat="1" hidden="1" outlineLevel="2">
      <c r="A58" s="178"/>
      <c r="B58" s="252" t="s">
        <v>193</v>
      </c>
      <c r="C58" s="253" t="s">
        <v>171</v>
      </c>
      <c r="D58" s="173">
        <v>1</v>
      </c>
      <c r="E58" s="252">
        <v>5.9</v>
      </c>
      <c r="F58" s="252"/>
      <c r="G58" s="254" t="str">
        <f t="shared" si="7"/>
        <v>-</v>
      </c>
      <c r="H58" s="254">
        <f t="shared" si="7"/>
        <v>5.9</v>
      </c>
      <c r="I58" s="254" t="str">
        <f t="shared" si="7"/>
        <v>-</v>
      </c>
      <c r="J58" s="254" t="str">
        <f t="shared" si="7"/>
        <v>-</v>
      </c>
      <c r="K58" s="254" t="str">
        <f t="shared" si="7"/>
        <v>-</v>
      </c>
      <c r="L58" s="254" t="str">
        <f t="shared" si="7"/>
        <v>-</v>
      </c>
      <c r="M58" s="254" t="str">
        <f t="shared" si="7"/>
        <v>-</v>
      </c>
      <c r="N58" s="255"/>
    </row>
    <row r="59" spans="1:14" s="256" customFormat="1" hidden="1" outlineLevel="2">
      <c r="A59" s="178"/>
      <c r="B59" s="252" t="s">
        <v>194</v>
      </c>
      <c r="C59" s="253" t="s">
        <v>172</v>
      </c>
      <c r="D59" s="173">
        <v>1</v>
      </c>
      <c r="E59" s="252">
        <v>12.2</v>
      </c>
      <c r="F59" s="252"/>
      <c r="G59" s="254" t="str">
        <f t="shared" si="7"/>
        <v>-</v>
      </c>
      <c r="H59" s="254" t="str">
        <f t="shared" si="7"/>
        <v>-</v>
      </c>
      <c r="I59" s="254" t="str">
        <f t="shared" si="7"/>
        <v>-</v>
      </c>
      <c r="J59" s="254" t="str">
        <f t="shared" si="7"/>
        <v>-</v>
      </c>
      <c r="K59" s="254" t="str">
        <f t="shared" si="7"/>
        <v>-</v>
      </c>
      <c r="L59" s="254" t="str">
        <f t="shared" si="7"/>
        <v>-</v>
      </c>
      <c r="M59" s="254" t="str">
        <f t="shared" si="7"/>
        <v>-</v>
      </c>
      <c r="N59" s="255"/>
    </row>
    <row r="60" spans="1:14" s="256" customFormat="1" hidden="1" outlineLevel="2">
      <c r="A60" s="178"/>
      <c r="B60" s="257" t="s">
        <v>191</v>
      </c>
      <c r="C60" s="253" t="s">
        <v>172</v>
      </c>
      <c r="D60" s="173">
        <v>-1</v>
      </c>
      <c r="E60" s="252">
        <v>2</v>
      </c>
      <c r="F60" s="252"/>
      <c r="G60" s="254" t="str">
        <f t="shared" si="7"/>
        <v>-</v>
      </c>
      <c r="H60" s="254" t="str">
        <f t="shared" si="7"/>
        <v>-</v>
      </c>
      <c r="I60" s="254" t="str">
        <f t="shared" si="7"/>
        <v>-</v>
      </c>
      <c r="J60" s="254" t="str">
        <f t="shared" si="7"/>
        <v>-</v>
      </c>
      <c r="K60" s="254" t="str">
        <f t="shared" si="7"/>
        <v>-</v>
      </c>
      <c r="L60" s="254" t="str">
        <f t="shared" si="7"/>
        <v>-</v>
      </c>
      <c r="M60" s="254" t="str">
        <f t="shared" si="7"/>
        <v>-</v>
      </c>
      <c r="N60" s="255"/>
    </row>
    <row r="61" spans="1:14" s="256" customFormat="1" hidden="1" outlineLevel="2">
      <c r="A61" s="178"/>
      <c r="B61" s="257" t="s">
        <v>195</v>
      </c>
      <c r="C61" s="253" t="s">
        <v>172</v>
      </c>
      <c r="D61" s="173">
        <v>-1</v>
      </c>
      <c r="E61" s="252">
        <v>2.8</v>
      </c>
      <c r="F61" s="252"/>
      <c r="G61" s="254" t="str">
        <f t="shared" si="7"/>
        <v>-</v>
      </c>
      <c r="H61" s="254" t="str">
        <f t="shared" si="7"/>
        <v>-</v>
      </c>
      <c r="I61" s="254" t="str">
        <f t="shared" si="7"/>
        <v>-</v>
      </c>
      <c r="J61" s="254" t="str">
        <f t="shared" si="7"/>
        <v>-</v>
      </c>
      <c r="K61" s="254" t="str">
        <f t="shared" si="7"/>
        <v>-</v>
      </c>
      <c r="L61" s="254" t="str">
        <f t="shared" si="7"/>
        <v>-</v>
      </c>
      <c r="M61" s="254" t="str">
        <f t="shared" si="7"/>
        <v>-</v>
      </c>
      <c r="N61" s="255"/>
    </row>
    <row r="62" spans="1:14" s="256" customFormat="1" hidden="1" outlineLevel="2">
      <c r="A62" s="178"/>
      <c r="B62" s="252" t="s">
        <v>198</v>
      </c>
      <c r="C62" s="253" t="s">
        <v>174</v>
      </c>
      <c r="D62" s="173">
        <v>1</v>
      </c>
      <c r="E62" s="252">
        <v>12</v>
      </c>
      <c r="F62" s="252">
        <v>2.2999999999999998</v>
      </c>
      <c r="G62" s="254" t="str">
        <f t="shared" si="7"/>
        <v>-</v>
      </c>
      <c r="H62" s="254" t="str">
        <f t="shared" si="7"/>
        <v>-</v>
      </c>
      <c r="I62" s="254" t="str">
        <f t="shared" ref="G62:M73" si="9">IF($C62=I$5,PRODUCT($D62:$F62),"-")</f>
        <v>-</v>
      </c>
      <c r="J62" s="254" t="str">
        <f t="shared" si="9"/>
        <v>-</v>
      </c>
      <c r="K62" s="254" t="str">
        <f t="shared" si="9"/>
        <v>-</v>
      </c>
      <c r="L62" s="254" t="str">
        <f t="shared" si="9"/>
        <v>-</v>
      </c>
      <c r="M62" s="254" t="str">
        <f t="shared" si="9"/>
        <v>-</v>
      </c>
      <c r="N62" s="255"/>
    </row>
    <row r="63" spans="1:14" s="256" customFormat="1" hidden="1" outlineLevel="2">
      <c r="A63" s="178"/>
      <c r="B63" s="257" t="s">
        <v>191</v>
      </c>
      <c r="C63" s="253" t="s">
        <v>174</v>
      </c>
      <c r="D63" s="173">
        <v>-1</v>
      </c>
      <c r="E63" s="252">
        <v>0.8</v>
      </c>
      <c r="F63" s="252">
        <v>2.2000000000000002</v>
      </c>
      <c r="G63" s="254" t="str">
        <f t="shared" si="9"/>
        <v>-</v>
      </c>
      <c r="H63" s="254" t="str">
        <f t="shared" si="9"/>
        <v>-</v>
      </c>
      <c r="I63" s="254" t="str">
        <f t="shared" si="9"/>
        <v>-</v>
      </c>
      <c r="J63" s="254" t="str">
        <f t="shared" si="9"/>
        <v>-</v>
      </c>
      <c r="K63" s="254" t="str">
        <f t="shared" si="9"/>
        <v>-</v>
      </c>
      <c r="L63" s="254" t="str">
        <f t="shared" si="9"/>
        <v>-</v>
      </c>
      <c r="M63" s="254" t="str">
        <f t="shared" si="9"/>
        <v>-</v>
      </c>
      <c r="N63" s="255"/>
    </row>
    <row r="64" spans="1:14" s="256" customFormat="1" hidden="1" outlineLevel="2">
      <c r="A64" s="178"/>
      <c r="B64" s="257" t="s">
        <v>199</v>
      </c>
      <c r="C64" s="253" t="s">
        <v>174</v>
      </c>
      <c r="D64" s="173">
        <v>-1</v>
      </c>
      <c r="E64" s="252">
        <v>1.7</v>
      </c>
      <c r="F64" s="252">
        <v>1.7</v>
      </c>
      <c r="G64" s="254" t="str">
        <f t="shared" si="9"/>
        <v>-</v>
      </c>
      <c r="H64" s="254" t="str">
        <f t="shared" si="9"/>
        <v>-</v>
      </c>
      <c r="I64" s="254" t="str">
        <f t="shared" si="9"/>
        <v>-</v>
      </c>
      <c r="J64" s="254" t="str">
        <f t="shared" si="9"/>
        <v>-</v>
      </c>
      <c r="K64" s="254" t="str">
        <f t="shared" si="9"/>
        <v>-</v>
      </c>
      <c r="L64" s="254" t="str">
        <f t="shared" si="9"/>
        <v>-</v>
      </c>
      <c r="M64" s="254" t="str">
        <f t="shared" si="9"/>
        <v>-</v>
      </c>
      <c r="N64" s="255"/>
    </row>
    <row r="65" spans="1:14" s="256" customFormat="1" hidden="1" outlineLevel="2">
      <c r="A65" s="178"/>
      <c r="B65" s="257" t="s">
        <v>200</v>
      </c>
      <c r="C65" s="253" t="s">
        <v>174</v>
      </c>
      <c r="D65" s="173">
        <v>-2</v>
      </c>
      <c r="E65" s="252">
        <v>0.85</v>
      </c>
      <c r="F65" s="252">
        <v>0.55000000000000004</v>
      </c>
      <c r="G65" s="254" t="str">
        <f t="shared" si="9"/>
        <v>-</v>
      </c>
      <c r="H65" s="254" t="str">
        <f t="shared" si="9"/>
        <v>-</v>
      </c>
      <c r="I65" s="254" t="str">
        <f t="shared" si="9"/>
        <v>-</v>
      </c>
      <c r="J65" s="254" t="str">
        <f t="shared" si="9"/>
        <v>-</v>
      </c>
      <c r="K65" s="254" t="str">
        <f t="shared" si="9"/>
        <v>-</v>
      </c>
      <c r="L65" s="254" t="str">
        <f t="shared" si="9"/>
        <v>-</v>
      </c>
      <c r="M65" s="254" t="str">
        <f t="shared" si="9"/>
        <v>-</v>
      </c>
      <c r="N65" s="255"/>
    </row>
    <row r="66" spans="1:14" s="256" customFormat="1" hidden="1" outlineLevel="2">
      <c r="A66" s="178"/>
      <c r="B66" s="258" t="s">
        <v>201</v>
      </c>
      <c r="C66" s="253" t="s">
        <v>174</v>
      </c>
      <c r="D66" s="173">
        <v>1</v>
      </c>
      <c r="E66" s="252">
        <v>2</v>
      </c>
      <c r="F66" s="252">
        <v>0.25</v>
      </c>
      <c r="G66" s="254" t="str">
        <f t="shared" si="9"/>
        <v>-</v>
      </c>
      <c r="H66" s="254" t="str">
        <f t="shared" si="9"/>
        <v>-</v>
      </c>
      <c r="I66" s="254" t="str">
        <f t="shared" si="9"/>
        <v>-</v>
      </c>
      <c r="J66" s="254" t="str">
        <f t="shared" si="9"/>
        <v>-</v>
      </c>
      <c r="K66" s="254" t="str">
        <f t="shared" si="9"/>
        <v>-</v>
      </c>
      <c r="L66" s="254" t="str">
        <f t="shared" si="9"/>
        <v>-</v>
      </c>
      <c r="M66" s="254" t="str">
        <f t="shared" si="9"/>
        <v>-</v>
      </c>
      <c r="N66" s="255"/>
    </row>
    <row r="67" spans="1:14" s="256" customFormat="1" hidden="1" outlineLevel="2">
      <c r="A67" s="178"/>
      <c r="B67" s="252" t="s">
        <v>196</v>
      </c>
      <c r="C67" s="253" t="s">
        <v>173</v>
      </c>
      <c r="D67" s="173">
        <v>1</v>
      </c>
      <c r="E67" s="252">
        <f>4.5-0.18</f>
        <v>4.32</v>
      </c>
      <c r="F67" s="252">
        <v>5</v>
      </c>
      <c r="G67" s="254" t="str">
        <f t="shared" si="9"/>
        <v>-</v>
      </c>
      <c r="H67" s="254" t="str">
        <f t="shared" si="9"/>
        <v>-</v>
      </c>
      <c r="I67" s="254">
        <f t="shared" si="9"/>
        <v>21.6</v>
      </c>
      <c r="J67" s="254" t="str">
        <f t="shared" si="9"/>
        <v>-</v>
      </c>
      <c r="K67" s="254" t="str">
        <f t="shared" si="9"/>
        <v>-</v>
      </c>
      <c r="L67" s="254" t="str">
        <f t="shared" si="9"/>
        <v>-</v>
      </c>
      <c r="M67" s="254" t="str">
        <f t="shared" si="9"/>
        <v>-</v>
      </c>
      <c r="N67" s="255"/>
    </row>
    <row r="68" spans="1:14" s="256" customFormat="1" hidden="1" outlineLevel="2">
      <c r="A68" s="178"/>
      <c r="B68" s="252" t="s">
        <v>197</v>
      </c>
      <c r="C68" s="253" t="s">
        <v>175</v>
      </c>
      <c r="D68" s="173">
        <v>1</v>
      </c>
      <c r="E68" s="252">
        <f>0.3*0.6*2</f>
        <v>0.36</v>
      </c>
      <c r="F68" s="252"/>
      <c r="G68" s="254" t="str">
        <f t="shared" si="9"/>
        <v>-</v>
      </c>
      <c r="H68" s="254" t="str">
        <f t="shared" si="9"/>
        <v>-</v>
      </c>
      <c r="I68" s="254" t="str">
        <f t="shared" si="9"/>
        <v>-</v>
      </c>
      <c r="J68" s="254">
        <f t="shared" si="9"/>
        <v>0.36</v>
      </c>
      <c r="K68" s="254" t="str">
        <f t="shared" si="9"/>
        <v>-</v>
      </c>
      <c r="L68" s="254" t="str">
        <f t="shared" si="9"/>
        <v>-</v>
      </c>
      <c r="M68" s="254" t="str">
        <f t="shared" si="9"/>
        <v>-</v>
      </c>
      <c r="N68" s="255"/>
    </row>
    <row r="69" spans="1:14" s="256" customFormat="1" hidden="1" outlineLevel="2">
      <c r="A69" s="178"/>
      <c r="B69" s="252" t="s">
        <v>202</v>
      </c>
      <c r="C69" s="253" t="s">
        <v>176</v>
      </c>
      <c r="D69" s="173">
        <v>1</v>
      </c>
      <c r="E69" s="252">
        <v>2</v>
      </c>
      <c r="F69" s="252">
        <v>0.9</v>
      </c>
      <c r="G69" s="254" t="str">
        <f t="shared" si="9"/>
        <v>-</v>
      </c>
      <c r="H69" s="254" t="str">
        <f t="shared" si="9"/>
        <v>-</v>
      </c>
      <c r="I69" s="254" t="str">
        <f t="shared" si="9"/>
        <v>-</v>
      </c>
      <c r="J69" s="254" t="str">
        <f t="shared" si="9"/>
        <v>-</v>
      </c>
      <c r="K69" s="254" t="str">
        <f t="shared" si="9"/>
        <v>-</v>
      </c>
      <c r="L69" s="254" t="str">
        <f t="shared" si="9"/>
        <v>-</v>
      </c>
      <c r="M69" s="254" t="str">
        <f t="shared" si="9"/>
        <v>-</v>
      </c>
      <c r="N69" s="255"/>
    </row>
    <row r="70" spans="1:14" s="256" customFormat="1" hidden="1" outlineLevel="2">
      <c r="A70" s="178"/>
      <c r="B70" s="257" t="s">
        <v>203</v>
      </c>
      <c r="C70" s="253" t="s">
        <v>176</v>
      </c>
      <c r="D70" s="173">
        <v>-1</v>
      </c>
      <c r="E70" s="252">
        <v>1.65</v>
      </c>
      <c r="F70" s="252">
        <v>0.7</v>
      </c>
      <c r="G70" s="254" t="str">
        <f t="shared" si="9"/>
        <v>-</v>
      </c>
      <c r="H70" s="254" t="str">
        <f t="shared" si="9"/>
        <v>-</v>
      </c>
      <c r="I70" s="254" t="str">
        <f t="shared" si="9"/>
        <v>-</v>
      </c>
      <c r="J70" s="254" t="str">
        <f t="shared" si="9"/>
        <v>-</v>
      </c>
      <c r="K70" s="254" t="str">
        <f t="shared" si="9"/>
        <v>-</v>
      </c>
      <c r="L70" s="254" t="str">
        <f t="shared" si="9"/>
        <v>-</v>
      </c>
      <c r="M70" s="254" t="str">
        <f t="shared" si="9"/>
        <v>-</v>
      </c>
      <c r="N70" s="255"/>
    </row>
    <row r="71" spans="1:14" s="256" customFormat="1" hidden="1" outlineLevel="2">
      <c r="A71" s="178"/>
      <c r="B71" s="252" t="s">
        <v>204</v>
      </c>
      <c r="C71" s="253" t="s">
        <v>177</v>
      </c>
      <c r="D71" s="173">
        <v>1</v>
      </c>
      <c r="E71" s="252"/>
      <c r="F71" s="252"/>
      <c r="G71" s="254" t="str">
        <f t="shared" si="9"/>
        <v>-</v>
      </c>
      <c r="H71" s="254" t="str">
        <f t="shared" si="9"/>
        <v>-</v>
      </c>
      <c r="I71" s="254" t="str">
        <f t="shared" si="9"/>
        <v>-</v>
      </c>
      <c r="J71" s="254" t="str">
        <f t="shared" si="9"/>
        <v>-</v>
      </c>
      <c r="K71" s="254">
        <f t="shared" si="9"/>
        <v>1</v>
      </c>
      <c r="L71" s="254" t="str">
        <f t="shared" si="9"/>
        <v>-</v>
      </c>
      <c r="M71" s="254" t="str">
        <f t="shared" si="9"/>
        <v>-</v>
      </c>
      <c r="N71" s="255"/>
    </row>
    <row r="72" spans="1:14" s="256" customFormat="1" hidden="1" outlineLevel="2">
      <c r="A72" s="178"/>
      <c r="B72" s="252" t="s">
        <v>205</v>
      </c>
      <c r="C72" s="253" t="s">
        <v>178</v>
      </c>
      <c r="D72" s="173">
        <v>1</v>
      </c>
      <c r="E72" s="252"/>
      <c r="F72" s="252"/>
      <c r="G72" s="254" t="str">
        <f t="shared" si="9"/>
        <v>-</v>
      </c>
      <c r="H72" s="254" t="str">
        <f t="shared" si="9"/>
        <v>-</v>
      </c>
      <c r="I72" s="254" t="str">
        <f t="shared" si="9"/>
        <v>-</v>
      </c>
      <c r="J72" s="254" t="str">
        <f t="shared" si="9"/>
        <v>-</v>
      </c>
      <c r="K72" s="254" t="str">
        <f t="shared" si="9"/>
        <v>-</v>
      </c>
      <c r="L72" s="254">
        <f t="shared" si="9"/>
        <v>1</v>
      </c>
      <c r="M72" s="254" t="str">
        <f t="shared" si="9"/>
        <v>-</v>
      </c>
      <c r="N72" s="255"/>
    </row>
    <row r="73" spans="1:14" s="256" customFormat="1" hidden="1" outlineLevel="2">
      <c r="A73" s="259"/>
      <c r="B73" s="252"/>
      <c r="C73" s="253"/>
      <c r="D73" s="173"/>
      <c r="E73" s="252"/>
      <c r="F73" s="252"/>
      <c r="G73" s="254" t="str">
        <f t="shared" si="9"/>
        <v>-</v>
      </c>
      <c r="H73" s="254" t="str">
        <f t="shared" si="9"/>
        <v>-</v>
      </c>
      <c r="I73" s="254" t="str">
        <f t="shared" si="9"/>
        <v>-</v>
      </c>
      <c r="J73" s="254" t="str">
        <f t="shared" si="9"/>
        <v>-</v>
      </c>
      <c r="K73" s="254" t="str">
        <f t="shared" si="9"/>
        <v>-</v>
      </c>
      <c r="L73" s="254" t="str">
        <f t="shared" si="9"/>
        <v>-</v>
      </c>
      <c r="M73" s="254" t="str">
        <f t="shared" si="9"/>
        <v>-</v>
      </c>
      <c r="N73" s="255"/>
    </row>
    <row r="74" spans="1:14" s="251" customFormat="1" ht="15" hidden="1" outlineLevel="1" collapsed="1">
      <c r="A74" s="245"/>
      <c r="B74" s="246" t="s">
        <v>210</v>
      </c>
      <c r="C74" s="245"/>
      <c r="D74" s="247">
        <v>1</v>
      </c>
      <c r="E74" s="248"/>
      <c r="F74" s="248"/>
      <c r="G74" s="249">
        <f>SUBTOTAL(9,G75:G94)</f>
        <v>20.2</v>
      </c>
      <c r="H74" s="249">
        <f t="shared" ref="H74:M74" si="10">SUBTOTAL(9,H75:H94)</f>
        <v>6.3</v>
      </c>
      <c r="I74" s="249">
        <f t="shared" si="10"/>
        <v>4.04</v>
      </c>
      <c r="J74" s="249">
        <f t="shared" si="10"/>
        <v>0.36</v>
      </c>
      <c r="K74" s="249">
        <f t="shared" si="10"/>
        <v>1</v>
      </c>
      <c r="L74" s="249">
        <f t="shared" si="10"/>
        <v>1</v>
      </c>
      <c r="M74" s="249">
        <f t="shared" si="10"/>
        <v>0</v>
      </c>
      <c r="N74" s="250"/>
    </row>
    <row r="75" spans="1:14" s="256" customFormat="1" hidden="1" outlineLevel="2">
      <c r="A75" s="178"/>
      <c r="B75" s="252" t="s">
        <v>189</v>
      </c>
      <c r="C75" s="253" t="s">
        <v>169</v>
      </c>
      <c r="D75" s="173">
        <v>1</v>
      </c>
      <c r="E75" s="252">
        <v>20.2</v>
      </c>
      <c r="F75" s="252"/>
      <c r="G75" s="254">
        <f t="shared" ref="G75:M99" si="11">IF($C75=G$5,PRODUCT($D75:$F75),"-")</f>
        <v>20.2</v>
      </c>
      <c r="H75" s="254" t="str">
        <f t="shared" si="11"/>
        <v>-</v>
      </c>
      <c r="I75" s="254" t="str">
        <f t="shared" si="11"/>
        <v>-</v>
      </c>
      <c r="J75" s="254" t="str">
        <f t="shared" si="11"/>
        <v>-</v>
      </c>
      <c r="K75" s="254" t="str">
        <f t="shared" si="11"/>
        <v>-</v>
      </c>
      <c r="L75" s="254" t="str">
        <f t="shared" si="11"/>
        <v>-</v>
      </c>
      <c r="M75" s="254" t="str">
        <f t="shared" si="11"/>
        <v>-</v>
      </c>
      <c r="N75" s="255"/>
    </row>
    <row r="76" spans="1:14" s="256" customFormat="1" hidden="1" outlineLevel="2">
      <c r="A76" s="178"/>
      <c r="B76" s="252" t="s">
        <v>190</v>
      </c>
      <c r="C76" s="253" t="s">
        <v>170</v>
      </c>
      <c r="D76" s="173">
        <v>1</v>
      </c>
      <c r="E76" s="252">
        <v>19.7</v>
      </c>
      <c r="F76" s="252"/>
      <c r="G76" s="254" t="str">
        <f t="shared" si="11"/>
        <v>-</v>
      </c>
      <c r="H76" s="254" t="str">
        <f t="shared" si="11"/>
        <v>-</v>
      </c>
      <c r="I76" s="254" t="str">
        <f t="shared" si="11"/>
        <v>-</v>
      </c>
      <c r="J76" s="254" t="str">
        <f t="shared" si="11"/>
        <v>-</v>
      </c>
      <c r="K76" s="254" t="str">
        <f t="shared" si="11"/>
        <v>-</v>
      </c>
      <c r="L76" s="254" t="str">
        <f t="shared" si="11"/>
        <v>-</v>
      </c>
      <c r="M76" s="254" t="str">
        <f t="shared" si="11"/>
        <v>-</v>
      </c>
      <c r="N76" s="255"/>
    </row>
    <row r="77" spans="1:14" s="256" customFormat="1" hidden="1" outlineLevel="2">
      <c r="A77" s="178"/>
      <c r="B77" s="257" t="s">
        <v>191</v>
      </c>
      <c r="C77" s="253" t="s">
        <v>170</v>
      </c>
      <c r="D77" s="173">
        <v>-1</v>
      </c>
      <c r="E77" s="252">
        <v>1.2</v>
      </c>
      <c r="F77" s="252"/>
      <c r="G77" s="254" t="str">
        <f t="shared" si="11"/>
        <v>-</v>
      </c>
      <c r="H77" s="254" t="str">
        <f t="shared" si="11"/>
        <v>-</v>
      </c>
      <c r="I77" s="254" t="str">
        <f t="shared" si="11"/>
        <v>-</v>
      </c>
      <c r="J77" s="254" t="str">
        <f t="shared" si="11"/>
        <v>-</v>
      </c>
      <c r="K77" s="254" t="str">
        <f t="shared" si="11"/>
        <v>-</v>
      </c>
      <c r="L77" s="254" t="str">
        <f t="shared" si="11"/>
        <v>-</v>
      </c>
      <c r="M77" s="254" t="str">
        <f t="shared" si="11"/>
        <v>-</v>
      </c>
      <c r="N77" s="255"/>
    </row>
    <row r="78" spans="1:14" s="256" customFormat="1" hidden="1" outlineLevel="2">
      <c r="A78" s="178"/>
      <c r="B78" s="257" t="s">
        <v>192</v>
      </c>
      <c r="C78" s="253" t="s">
        <v>170</v>
      </c>
      <c r="D78" s="173">
        <v>-1</v>
      </c>
      <c r="E78" s="252">
        <v>3.2</v>
      </c>
      <c r="F78" s="252"/>
      <c r="G78" s="254" t="str">
        <f t="shared" si="11"/>
        <v>-</v>
      </c>
      <c r="H78" s="254" t="str">
        <f t="shared" si="11"/>
        <v>-</v>
      </c>
      <c r="I78" s="254" t="str">
        <f t="shared" si="11"/>
        <v>-</v>
      </c>
      <c r="J78" s="254" t="str">
        <f t="shared" si="11"/>
        <v>-</v>
      </c>
      <c r="K78" s="254" t="str">
        <f t="shared" si="11"/>
        <v>-</v>
      </c>
      <c r="L78" s="254" t="str">
        <f t="shared" si="11"/>
        <v>-</v>
      </c>
      <c r="M78" s="254" t="str">
        <f t="shared" si="11"/>
        <v>-</v>
      </c>
      <c r="N78" s="255"/>
    </row>
    <row r="79" spans="1:14" s="256" customFormat="1" hidden="1" outlineLevel="2">
      <c r="A79" s="178"/>
      <c r="B79" s="252" t="s">
        <v>193</v>
      </c>
      <c r="C79" s="253" t="s">
        <v>171</v>
      </c>
      <c r="D79" s="173">
        <v>1</v>
      </c>
      <c r="E79" s="252">
        <v>6.3</v>
      </c>
      <c r="F79" s="252"/>
      <c r="G79" s="254" t="str">
        <f t="shared" si="11"/>
        <v>-</v>
      </c>
      <c r="H79" s="254">
        <f t="shared" si="11"/>
        <v>6.3</v>
      </c>
      <c r="I79" s="254" t="str">
        <f t="shared" si="11"/>
        <v>-</v>
      </c>
      <c r="J79" s="254" t="str">
        <f t="shared" si="11"/>
        <v>-</v>
      </c>
      <c r="K79" s="254" t="str">
        <f t="shared" si="11"/>
        <v>-</v>
      </c>
      <c r="L79" s="254" t="str">
        <f t="shared" si="11"/>
        <v>-</v>
      </c>
      <c r="M79" s="254" t="str">
        <f t="shared" si="11"/>
        <v>-</v>
      </c>
      <c r="N79" s="255"/>
    </row>
    <row r="80" spans="1:14" s="256" customFormat="1" hidden="1" outlineLevel="2">
      <c r="A80" s="178"/>
      <c r="B80" s="252" t="s">
        <v>194</v>
      </c>
      <c r="C80" s="253" t="s">
        <v>172</v>
      </c>
      <c r="D80" s="173">
        <v>1</v>
      </c>
      <c r="E80" s="252">
        <v>12.4</v>
      </c>
      <c r="F80" s="252"/>
      <c r="G80" s="254" t="str">
        <f t="shared" si="11"/>
        <v>-</v>
      </c>
      <c r="H80" s="254" t="str">
        <f t="shared" si="11"/>
        <v>-</v>
      </c>
      <c r="I80" s="254" t="str">
        <f t="shared" si="11"/>
        <v>-</v>
      </c>
      <c r="J80" s="254" t="str">
        <f t="shared" si="11"/>
        <v>-</v>
      </c>
      <c r="K80" s="254" t="str">
        <f t="shared" si="11"/>
        <v>-</v>
      </c>
      <c r="L80" s="254" t="str">
        <f t="shared" si="11"/>
        <v>-</v>
      </c>
      <c r="M80" s="254" t="str">
        <f t="shared" si="11"/>
        <v>-</v>
      </c>
      <c r="N80" s="255"/>
    </row>
    <row r="81" spans="1:14" s="256" customFormat="1" hidden="1" outlineLevel="2">
      <c r="A81" s="178"/>
      <c r="B81" s="257" t="s">
        <v>191</v>
      </c>
      <c r="C81" s="253" t="s">
        <v>172</v>
      </c>
      <c r="D81" s="173">
        <v>-1</v>
      </c>
      <c r="E81" s="252">
        <f>1.2+0.8*2</f>
        <v>2.8</v>
      </c>
      <c r="F81" s="252"/>
      <c r="G81" s="254" t="str">
        <f t="shared" si="11"/>
        <v>-</v>
      </c>
      <c r="H81" s="254" t="str">
        <f t="shared" si="11"/>
        <v>-</v>
      </c>
      <c r="I81" s="254" t="str">
        <f t="shared" si="11"/>
        <v>-</v>
      </c>
      <c r="J81" s="254" t="str">
        <f t="shared" si="11"/>
        <v>-</v>
      </c>
      <c r="K81" s="254" t="str">
        <f t="shared" si="11"/>
        <v>-</v>
      </c>
      <c r="L81" s="254" t="str">
        <f t="shared" si="11"/>
        <v>-</v>
      </c>
      <c r="M81" s="254" t="str">
        <f t="shared" si="11"/>
        <v>-</v>
      </c>
      <c r="N81" s="255"/>
    </row>
    <row r="82" spans="1:14" s="256" customFormat="1" hidden="1" outlineLevel="2">
      <c r="A82" s="178"/>
      <c r="B82" s="257" t="s">
        <v>195</v>
      </c>
      <c r="C82" s="253" t="s">
        <v>172</v>
      </c>
      <c r="D82" s="173">
        <v>-1</v>
      </c>
      <c r="E82" s="252">
        <v>2.6</v>
      </c>
      <c r="F82" s="252"/>
      <c r="G82" s="254" t="str">
        <f t="shared" si="11"/>
        <v>-</v>
      </c>
      <c r="H82" s="254" t="str">
        <f t="shared" si="11"/>
        <v>-</v>
      </c>
      <c r="I82" s="254" t="str">
        <f t="shared" si="11"/>
        <v>-</v>
      </c>
      <c r="J82" s="254" t="str">
        <f t="shared" si="11"/>
        <v>-</v>
      </c>
      <c r="K82" s="254" t="str">
        <f t="shared" si="11"/>
        <v>-</v>
      </c>
      <c r="L82" s="254" t="str">
        <f t="shared" si="11"/>
        <v>-</v>
      </c>
      <c r="M82" s="254" t="str">
        <f t="shared" si="11"/>
        <v>-</v>
      </c>
      <c r="N82" s="255"/>
    </row>
    <row r="83" spans="1:14" s="256" customFormat="1" hidden="1" outlineLevel="2">
      <c r="A83" s="178"/>
      <c r="B83" s="252" t="s">
        <v>196</v>
      </c>
      <c r="C83" s="253" t="s">
        <v>173</v>
      </c>
      <c r="D83" s="173">
        <v>1</v>
      </c>
      <c r="E83" s="252">
        <f>4.4-0.36</f>
        <v>4.04</v>
      </c>
      <c r="F83" s="252"/>
      <c r="G83" s="254" t="str">
        <f t="shared" si="11"/>
        <v>-</v>
      </c>
      <c r="H83" s="254" t="str">
        <f t="shared" si="11"/>
        <v>-</v>
      </c>
      <c r="I83" s="254">
        <f t="shared" si="11"/>
        <v>4.04</v>
      </c>
      <c r="J83" s="254" t="str">
        <f t="shared" si="11"/>
        <v>-</v>
      </c>
      <c r="K83" s="254" t="str">
        <f t="shared" si="11"/>
        <v>-</v>
      </c>
      <c r="L83" s="254" t="str">
        <f t="shared" si="11"/>
        <v>-</v>
      </c>
      <c r="M83" s="254" t="str">
        <f t="shared" si="11"/>
        <v>-</v>
      </c>
      <c r="N83" s="255"/>
    </row>
    <row r="84" spans="1:14" s="256" customFormat="1" hidden="1" outlineLevel="2">
      <c r="A84" s="178"/>
      <c r="B84" s="252" t="s">
        <v>197</v>
      </c>
      <c r="C84" s="253" t="s">
        <v>175</v>
      </c>
      <c r="D84" s="173">
        <v>1</v>
      </c>
      <c r="E84" s="252">
        <f>0.3*0.6*2</f>
        <v>0.36</v>
      </c>
      <c r="F84" s="252"/>
      <c r="G84" s="254" t="str">
        <f t="shared" si="11"/>
        <v>-</v>
      </c>
      <c r="H84" s="254" t="str">
        <f t="shared" si="11"/>
        <v>-</v>
      </c>
      <c r="I84" s="254" t="str">
        <f t="shared" si="11"/>
        <v>-</v>
      </c>
      <c r="J84" s="254">
        <f t="shared" si="11"/>
        <v>0.36</v>
      </c>
      <c r="K84" s="254" t="str">
        <f t="shared" si="11"/>
        <v>-</v>
      </c>
      <c r="L84" s="254" t="str">
        <f t="shared" si="11"/>
        <v>-</v>
      </c>
      <c r="M84" s="254" t="str">
        <f t="shared" si="11"/>
        <v>-</v>
      </c>
      <c r="N84" s="255"/>
    </row>
    <row r="85" spans="1:14" s="256" customFormat="1" hidden="1" outlineLevel="2">
      <c r="A85" s="178"/>
      <c r="B85" s="252" t="s">
        <v>198</v>
      </c>
      <c r="C85" s="253" t="s">
        <v>174</v>
      </c>
      <c r="D85" s="173">
        <v>1</v>
      </c>
      <c r="E85" s="252">
        <v>11.6</v>
      </c>
      <c r="F85" s="252">
        <v>2.2999999999999998</v>
      </c>
      <c r="G85" s="254" t="str">
        <f t="shared" si="11"/>
        <v>-</v>
      </c>
      <c r="H85" s="254" t="str">
        <f t="shared" si="11"/>
        <v>-</v>
      </c>
      <c r="I85" s="254" t="str">
        <f t="shared" si="11"/>
        <v>-</v>
      </c>
      <c r="J85" s="254" t="str">
        <f t="shared" si="11"/>
        <v>-</v>
      </c>
      <c r="K85" s="254" t="str">
        <f t="shared" si="11"/>
        <v>-</v>
      </c>
      <c r="L85" s="254" t="str">
        <f t="shared" si="11"/>
        <v>-</v>
      </c>
      <c r="M85" s="254" t="str">
        <f t="shared" si="11"/>
        <v>-</v>
      </c>
      <c r="N85" s="255"/>
    </row>
    <row r="86" spans="1:14" s="256" customFormat="1" hidden="1" outlineLevel="2">
      <c r="A86" s="178"/>
      <c r="B86" s="257" t="s">
        <v>191</v>
      </c>
      <c r="C86" s="253" t="s">
        <v>174</v>
      </c>
      <c r="D86" s="173">
        <v>-1</v>
      </c>
      <c r="E86" s="252">
        <v>0.8</v>
      </c>
      <c r="F86" s="252">
        <v>2.2200000000000002</v>
      </c>
      <c r="G86" s="254" t="str">
        <f t="shared" si="11"/>
        <v>-</v>
      </c>
      <c r="H86" s="254" t="str">
        <f t="shared" si="11"/>
        <v>-</v>
      </c>
      <c r="I86" s="254" t="str">
        <f t="shared" si="11"/>
        <v>-</v>
      </c>
      <c r="J86" s="254" t="str">
        <f t="shared" si="11"/>
        <v>-</v>
      </c>
      <c r="K86" s="254" t="str">
        <f t="shared" si="11"/>
        <v>-</v>
      </c>
      <c r="L86" s="254" t="str">
        <f t="shared" si="11"/>
        <v>-</v>
      </c>
      <c r="M86" s="254" t="str">
        <f t="shared" si="11"/>
        <v>-</v>
      </c>
      <c r="N86" s="255"/>
    </row>
    <row r="87" spans="1:14" s="256" customFormat="1" hidden="1" outlineLevel="2">
      <c r="A87" s="178"/>
      <c r="B87" s="257" t="s">
        <v>199</v>
      </c>
      <c r="C87" s="253" t="s">
        <v>174</v>
      </c>
      <c r="D87" s="173">
        <v>-1</v>
      </c>
      <c r="E87" s="252">
        <v>1.6</v>
      </c>
      <c r="F87" s="252">
        <v>1.7</v>
      </c>
      <c r="G87" s="254" t="str">
        <f t="shared" si="11"/>
        <v>-</v>
      </c>
      <c r="H87" s="254" t="str">
        <f t="shared" si="11"/>
        <v>-</v>
      </c>
      <c r="I87" s="254" t="str">
        <f t="shared" si="11"/>
        <v>-</v>
      </c>
      <c r="J87" s="254" t="str">
        <f t="shared" si="11"/>
        <v>-</v>
      </c>
      <c r="K87" s="254" t="str">
        <f t="shared" si="11"/>
        <v>-</v>
      </c>
      <c r="L87" s="254" t="str">
        <f t="shared" si="11"/>
        <v>-</v>
      </c>
      <c r="M87" s="254" t="str">
        <f t="shared" si="11"/>
        <v>-</v>
      </c>
      <c r="N87" s="255"/>
    </row>
    <row r="88" spans="1:14" s="256" customFormat="1" hidden="1" outlineLevel="2">
      <c r="A88" s="178"/>
      <c r="B88" s="257" t="s">
        <v>200</v>
      </c>
      <c r="C88" s="253" t="s">
        <v>174</v>
      </c>
      <c r="D88" s="173">
        <v>-2</v>
      </c>
      <c r="E88" s="252">
        <v>0.85</v>
      </c>
      <c r="F88" s="252">
        <v>0.55000000000000004</v>
      </c>
      <c r="G88" s="254" t="str">
        <f t="shared" si="11"/>
        <v>-</v>
      </c>
      <c r="H88" s="254" t="str">
        <f t="shared" si="11"/>
        <v>-</v>
      </c>
      <c r="I88" s="254" t="str">
        <f t="shared" si="11"/>
        <v>-</v>
      </c>
      <c r="J88" s="254" t="str">
        <f t="shared" si="11"/>
        <v>-</v>
      </c>
      <c r="K88" s="254" t="str">
        <f t="shared" si="11"/>
        <v>-</v>
      </c>
      <c r="L88" s="254" t="str">
        <f t="shared" si="11"/>
        <v>-</v>
      </c>
      <c r="M88" s="254" t="str">
        <f t="shared" si="11"/>
        <v>-</v>
      </c>
      <c r="N88" s="255"/>
    </row>
    <row r="89" spans="1:14" s="256" customFormat="1" hidden="1" outlineLevel="2">
      <c r="A89" s="178"/>
      <c r="B89" s="258" t="s">
        <v>201</v>
      </c>
      <c r="C89" s="253" t="s">
        <v>174</v>
      </c>
      <c r="D89" s="173">
        <v>1</v>
      </c>
      <c r="E89" s="252">
        <v>1.9</v>
      </c>
      <c r="F89" s="252">
        <v>0.25</v>
      </c>
      <c r="G89" s="254" t="str">
        <f t="shared" si="11"/>
        <v>-</v>
      </c>
      <c r="H89" s="254" t="str">
        <f t="shared" si="11"/>
        <v>-</v>
      </c>
      <c r="I89" s="254" t="str">
        <f t="shared" si="11"/>
        <v>-</v>
      </c>
      <c r="J89" s="254" t="str">
        <f t="shared" si="11"/>
        <v>-</v>
      </c>
      <c r="K89" s="254" t="str">
        <f t="shared" si="11"/>
        <v>-</v>
      </c>
      <c r="L89" s="254" t="str">
        <f t="shared" si="11"/>
        <v>-</v>
      </c>
      <c r="M89" s="254" t="str">
        <f t="shared" si="11"/>
        <v>-</v>
      </c>
      <c r="N89" s="255"/>
    </row>
    <row r="90" spans="1:14" s="256" customFormat="1" hidden="1" outlineLevel="2">
      <c r="A90" s="178"/>
      <c r="B90" s="252" t="s">
        <v>202</v>
      </c>
      <c r="C90" s="253" t="s">
        <v>176</v>
      </c>
      <c r="D90" s="173">
        <v>1</v>
      </c>
      <c r="E90" s="252">
        <v>1.9</v>
      </c>
      <c r="F90" s="252">
        <v>0.9</v>
      </c>
      <c r="G90" s="254" t="str">
        <f t="shared" si="11"/>
        <v>-</v>
      </c>
      <c r="H90" s="254" t="str">
        <f t="shared" si="11"/>
        <v>-</v>
      </c>
      <c r="I90" s="254" t="str">
        <f t="shared" si="11"/>
        <v>-</v>
      </c>
      <c r="J90" s="254" t="str">
        <f t="shared" si="11"/>
        <v>-</v>
      </c>
      <c r="K90" s="254" t="str">
        <f t="shared" si="11"/>
        <v>-</v>
      </c>
      <c r="L90" s="254" t="str">
        <f t="shared" si="11"/>
        <v>-</v>
      </c>
      <c r="M90" s="254" t="str">
        <f t="shared" si="11"/>
        <v>-</v>
      </c>
      <c r="N90" s="255"/>
    </row>
    <row r="91" spans="1:14" s="256" customFormat="1" hidden="1" outlineLevel="2">
      <c r="A91" s="178"/>
      <c r="B91" s="257" t="s">
        <v>203</v>
      </c>
      <c r="C91" s="253" t="s">
        <v>176</v>
      </c>
      <c r="D91" s="173">
        <v>-1</v>
      </c>
      <c r="E91" s="252">
        <v>1.65</v>
      </c>
      <c r="F91" s="252">
        <v>0.7</v>
      </c>
      <c r="G91" s="254" t="str">
        <f t="shared" si="11"/>
        <v>-</v>
      </c>
      <c r="H91" s="254" t="str">
        <f t="shared" si="11"/>
        <v>-</v>
      </c>
      <c r="I91" s="254" t="str">
        <f t="shared" si="11"/>
        <v>-</v>
      </c>
      <c r="J91" s="254" t="str">
        <f t="shared" si="11"/>
        <v>-</v>
      </c>
      <c r="K91" s="254" t="str">
        <f t="shared" si="11"/>
        <v>-</v>
      </c>
      <c r="L91" s="254" t="str">
        <f t="shared" si="11"/>
        <v>-</v>
      </c>
      <c r="M91" s="254" t="str">
        <f t="shared" si="11"/>
        <v>-</v>
      </c>
      <c r="N91" s="255"/>
    </row>
    <row r="92" spans="1:14" s="256" customFormat="1" hidden="1" outlineLevel="2">
      <c r="A92" s="178"/>
      <c r="B92" s="252" t="s">
        <v>204</v>
      </c>
      <c r="C92" s="253" t="s">
        <v>177</v>
      </c>
      <c r="D92" s="173">
        <v>1</v>
      </c>
      <c r="E92" s="252"/>
      <c r="F92" s="252"/>
      <c r="G92" s="254" t="str">
        <f t="shared" si="11"/>
        <v>-</v>
      </c>
      <c r="H92" s="254" t="str">
        <f t="shared" si="11"/>
        <v>-</v>
      </c>
      <c r="I92" s="254" t="str">
        <f t="shared" si="11"/>
        <v>-</v>
      </c>
      <c r="J92" s="254" t="str">
        <f t="shared" si="11"/>
        <v>-</v>
      </c>
      <c r="K92" s="254">
        <f t="shared" si="11"/>
        <v>1</v>
      </c>
      <c r="L92" s="254" t="str">
        <f t="shared" si="11"/>
        <v>-</v>
      </c>
      <c r="M92" s="254" t="str">
        <f t="shared" si="11"/>
        <v>-</v>
      </c>
      <c r="N92" s="255"/>
    </row>
    <row r="93" spans="1:14" s="256" customFormat="1" hidden="1" outlineLevel="2">
      <c r="A93" s="178"/>
      <c r="B93" s="252" t="s">
        <v>205</v>
      </c>
      <c r="C93" s="253" t="s">
        <v>178</v>
      </c>
      <c r="D93" s="173">
        <v>1</v>
      </c>
      <c r="E93" s="252"/>
      <c r="F93" s="252"/>
      <c r="G93" s="254" t="str">
        <f t="shared" si="11"/>
        <v>-</v>
      </c>
      <c r="H93" s="254" t="str">
        <f t="shared" si="11"/>
        <v>-</v>
      </c>
      <c r="I93" s="254" t="str">
        <f t="shared" si="11"/>
        <v>-</v>
      </c>
      <c r="J93" s="254" t="str">
        <f t="shared" si="11"/>
        <v>-</v>
      </c>
      <c r="K93" s="254" t="str">
        <f t="shared" si="11"/>
        <v>-</v>
      </c>
      <c r="L93" s="254">
        <f t="shared" si="11"/>
        <v>1</v>
      </c>
      <c r="M93" s="254" t="str">
        <f t="shared" si="11"/>
        <v>-</v>
      </c>
      <c r="N93" s="255"/>
    </row>
    <row r="94" spans="1:14" s="256" customFormat="1" hidden="1" outlineLevel="2">
      <c r="A94" s="259"/>
      <c r="B94" s="252"/>
      <c r="C94" s="253"/>
      <c r="D94" s="173"/>
      <c r="E94" s="252"/>
      <c r="F94" s="252"/>
      <c r="G94" s="254" t="str">
        <f t="shared" si="11"/>
        <v>-</v>
      </c>
      <c r="H94" s="254" t="str">
        <f t="shared" si="11"/>
        <v>-</v>
      </c>
      <c r="I94" s="254" t="str">
        <f t="shared" si="11"/>
        <v>-</v>
      </c>
      <c r="J94" s="254" t="str">
        <f t="shared" si="11"/>
        <v>-</v>
      </c>
      <c r="K94" s="254" t="str">
        <f t="shared" si="11"/>
        <v>-</v>
      </c>
      <c r="L94" s="254" t="str">
        <f t="shared" si="11"/>
        <v>-</v>
      </c>
      <c r="M94" s="254" t="str">
        <f t="shared" si="11"/>
        <v>-</v>
      </c>
      <c r="N94" s="255"/>
    </row>
    <row r="95" spans="1:14" s="251" customFormat="1" ht="15" hidden="1" outlineLevel="1" collapsed="1">
      <c r="A95" s="245"/>
      <c r="B95" s="246" t="s">
        <v>211</v>
      </c>
      <c r="C95" s="245"/>
      <c r="D95" s="247">
        <v>1</v>
      </c>
      <c r="E95" s="248"/>
      <c r="F95" s="248"/>
      <c r="G95" s="249">
        <f>SUBTOTAL(9,G96:G114)</f>
        <v>23.3</v>
      </c>
      <c r="H95" s="249">
        <f t="shared" ref="H95:M95" si="12">SUBTOTAL(9,H96:H114)</f>
        <v>4.4000000000000004</v>
      </c>
      <c r="I95" s="249">
        <f t="shared" si="12"/>
        <v>2.6</v>
      </c>
      <c r="J95" s="249">
        <f t="shared" si="12"/>
        <v>0</v>
      </c>
      <c r="K95" s="249">
        <f t="shared" si="12"/>
        <v>1</v>
      </c>
      <c r="L95" s="249">
        <f t="shared" si="12"/>
        <v>1</v>
      </c>
      <c r="M95" s="249">
        <f t="shared" si="12"/>
        <v>0</v>
      </c>
      <c r="N95" s="250"/>
    </row>
    <row r="96" spans="1:14" s="256" customFormat="1" hidden="1" outlineLevel="2">
      <c r="A96" s="178"/>
      <c r="B96" s="252" t="s">
        <v>189</v>
      </c>
      <c r="C96" s="253" t="s">
        <v>169</v>
      </c>
      <c r="D96" s="173">
        <v>1</v>
      </c>
      <c r="E96" s="252">
        <v>23.3</v>
      </c>
      <c r="F96" s="252"/>
      <c r="G96" s="254">
        <f t="shared" si="11"/>
        <v>23.3</v>
      </c>
      <c r="H96" s="254" t="str">
        <f t="shared" si="11"/>
        <v>-</v>
      </c>
      <c r="I96" s="254" t="str">
        <f t="shared" si="11"/>
        <v>-</v>
      </c>
      <c r="J96" s="254" t="str">
        <f t="shared" si="11"/>
        <v>-</v>
      </c>
      <c r="K96" s="254" t="str">
        <f t="shared" si="11"/>
        <v>-</v>
      </c>
      <c r="L96" s="254" t="str">
        <f t="shared" si="11"/>
        <v>-</v>
      </c>
      <c r="M96" s="254" t="str">
        <f t="shared" si="11"/>
        <v>-</v>
      </c>
      <c r="N96" s="255"/>
    </row>
    <row r="97" spans="1:14" s="256" customFormat="1" hidden="1" outlineLevel="2">
      <c r="A97" s="178"/>
      <c r="B97" s="252" t="s">
        <v>190</v>
      </c>
      <c r="C97" s="253" t="s">
        <v>170</v>
      </c>
      <c r="D97" s="173">
        <v>1</v>
      </c>
      <c r="E97" s="252">
        <v>21.2</v>
      </c>
      <c r="F97" s="252"/>
      <c r="G97" s="254" t="str">
        <f t="shared" si="11"/>
        <v>-</v>
      </c>
      <c r="H97" s="254" t="str">
        <f t="shared" si="11"/>
        <v>-</v>
      </c>
      <c r="I97" s="254" t="str">
        <f t="shared" si="11"/>
        <v>-</v>
      </c>
      <c r="J97" s="254" t="str">
        <f t="shared" si="11"/>
        <v>-</v>
      </c>
      <c r="K97" s="254" t="str">
        <f t="shared" si="11"/>
        <v>-</v>
      </c>
      <c r="L97" s="254" t="str">
        <f t="shared" si="11"/>
        <v>-</v>
      </c>
      <c r="M97" s="254" t="str">
        <f t="shared" si="11"/>
        <v>-</v>
      </c>
      <c r="N97" s="255"/>
    </row>
    <row r="98" spans="1:14" s="256" customFormat="1" hidden="1" outlineLevel="2">
      <c r="A98" s="178"/>
      <c r="B98" s="257" t="s">
        <v>191</v>
      </c>
      <c r="C98" s="253" t="s">
        <v>170</v>
      </c>
      <c r="D98" s="173">
        <v>-1</v>
      </c>
      <c r="E98" s="252">
        <v>1.2</v>
      </c>
      <c r="F98" s="252"/>
      <c r="G98" s="254" t="str">
        <f t="shared" si="11"/>
        <v>-</v>
      </c>
      <c r="H98" s="254" t="str">
        <f t="shared" si="11"/>
        <v>-</v>
      </c>
      <c r="I98" s="254" t="str">
        <f t="shared" si="11"/>
        <v>-</v>
      </c>
      <c r="J98" s="254" t="str">
        <f t="shared" si="11"/>
        <v>-</v>
      </c>
      <c r="K98" s="254" t="str">
        <f t="shared" si="11"/>
        <v>-</v>
      </c>
      <c r="L98" s="254" t="str">
        <f t="shared" si="11"/>
        <v>-</v>
      </c>
      <c r="M98" s="254" t="str">
        <f t="shared" si="11"/>
        <v>-</v>
      </c>
      <c r="N98" s="255"/>
    </row>
    <row r="99" spans="1:14" s="256" customFormat="1" hidden="1" outlineLevel="2">
      <c r="A99" s="178"/>
      <c r="B99" s="257" t="s">
        <v>192</v>
      </c>
      <c r="C99" s="253" t="s">
        <v>170</v>
      </c>
      <c r="D99" s="173">
        <v>-1</v>
      </c>
      <c r="E99" s="252">
        <v>3.2</v>
      </c>
      <c r="F99" s="252"/>
      <c r="G99" s="254" t="str">
        <f t="shared" si="11"/>
        <v>-</v>
      </c>
      <c r="H99" s="254" t="str">
        <f t="shared" ref="H99:M99" si="13">IF($C99=H$5,PRODUCT($D99:$F99),"-")</f>
        <v>-</v>
      </c>
      <c r="I99" s="254" t="str">
        <f t="shared" si="13"/>
        <v>-</v>
      </c>
      <c r="J99" s="254" t="str">
        <f t="shared" si="13"/>
        <v>-</v>
      </c>
      <c r="K99" s="254" t="str">
        <f t="shared" si="13"/>
        <v>-</v>
      </c>
      <c r="L99" s="254" t="str">
        <f t="shared" si="13"/>
        <v>-</v>
      </c>
      <c r="M99" s="254" t="str">
        <f t="shared" si="13"/>
        <v>-</v>
      </c>
      <c r="N99" s="255"/>
    </row>
    <row r="100" spans="1:14" s="256" customFormat="1" hidden="1" outlineLevel="2">
      <c r="A100" s="178"/>
      <c r="B100" s="252" t="s">
        <v>193</v>
      </c>
      <c r="C100" s="253" t="s">
        <v>171</v>
      </c>
      <c r="D100" s="173">
        <v>1</v>
      </c>
      <c r="E100" s="252">
        <v>4.4000000000000004</v>
      </c>
      <c r="F100" s="252"/>
      <c r="G100" s="254" t="str">
        <f t="shared" ref="G100:M114" si="14">IF($C100=G$5,PRODUCT($D100:$F100),"-")</f>
        <v>-</v>
      </c>
      <c r="H100" s="254">
        <f t="shared" si="14"/>
        <v>4.4000000000000004</v>
      </c>
      <c r="I100" s="254" t="str">
        <f t="shared" si="14"/>
        <v>-</v>
      </c>
      <c r="J100" s="254" t="str">
        <f t="shared" si="14"/>
        <v>-</v>
      </c>
      <c r="K100" s="254" t="str">
        <f t="shared" si="14"/>
        <v>-</v>
      </c>
      <c r="L100" s="254" t="str">
        <f t="shared" si="14"/>
        <v>-</v>
      </c>
      <c r="M100" s="254" t="str">
        <f t="shared" si="14"/>
        <v>-</v>
      </c>
      <c r="N100" s="255"/>
    </row>
    <row r="101" spans="1:14" s="256" customFormat="1" hidden="1" outlineLevel="2">
      <c r="A101" s="178"/>
      <c r="B101" s="252" t="s">
        <v>194</v>
      </c>
      <c r="C101" s="253" t="s">
        <v>172</v>
      </c>
      <c r="D101" s="173">
        <v>1</v>
      </c>
      <c r="E101" s="252">
        <v>10.5</v>
      </c>
      <c r="F101" s="252"/>
      <c r="G101" s="254" t="str">
        <f t="shared" si="14"/>
        <v>-</v>
      </c>
      <c r="H101" s="254" t="str">
        <f t="shared" si="14"/>
        <v>-</v>
      </c>
      <c r="I101" s="254" t="str">
        <f t="shared" si="14"/>
        <v>-</v>
      </c>
      <c r="J101" s="254" t="str">
        <f t="shared" si="14"/>
        <v>-</v>
      </c>
      <c r="K101" s="254" t="str">
        <f t="shared" si="14"/>
        <v>-</v>
      </c>
      <c r="L101" s="254" t="str">
        <f t="shared" si="14"/>
        <v>-</v>
      </c>
      <c r="M101" s="254" t="str">
        <f t="shared" si="14"/>
        <v>-</v>
      </c>
      <c r="N101" s="255"/>
    </row>
    <row r="102" spans="1:14" s="256" customFormat="1" hidden="1" outlineLevel="2">
      <c r="A102" s="178"/>
      <c r="B102" s="257" t="s">
        <v>191</v>
      </c>
      <c r="C102" s="253" t="s">
        <v>172</v>
      </c>
      <c r="D102" s="173">
        <v>-1</v>
      </c>
      <c r="E102" s="252">
        <f>1.2+0.8*2</f>
        <v>2.8</v>
      </c>
      <c r="F102" s="252"/>
      <c r="G102" s="254" t="str">
        <f t="shared" si="14"/>
        <v>-</v>
      </c>
      <c r="H102" s="254" t="str">
        <f t="shared" si="14"/>
        <v>-</v>
      </c>
      <c r="I102" s="254" t="str">
        <f t="shared" si="14"/>
        <v>-</v>
      </c>
      <c r="J102" s="254" t="str">
        <f t="shared" si="14"/>
        <v>-</v>
      </c>
      <c r="K102" s="254" t="str">
        <f t="shared" si="14"/>
        <v>-</v>
      </c>
      <c r="L102" s="254" t="str">
        <f t="shared" si="14"/>
        <v>-</v>
      </c>
      <c r="M102" s="254" t="str">
        <f t="shared" si="14"/>
        <v>-</v>
      </c>
      <c r="N102" s="255"/>
    </row>
    <row r="103" spans="1:14" s="256" customFormat="1" hidden="1" outlineLevel="2">
      <c r="A103" s="178"/>
      <c r="B103" s="257" t="s">
        <v>195</v>
      </c>
      <c r="C103" s="253" t="s">
        <v>172</v>
      </c>
      <c r="D103" s="173">
        <v>-1</v>
      </c>
      <c r="E103" s="252">
        <v>2</v>
      </c>
      <c r="F103" s="252"/>
      <c r="G103" s="254" t="str">
        <f t="shared" si="14"/>
        <v>-</v>
      </c>
      <c r="H103" s="254" t="str">
        <f t="shared" si="14"/>
        <v>-</v>
      </c>
      <c r="I103" s="254" t="str">
        <f t="shared" si="14"/>
        <v>-</v>
      </c>
      <c r="J103" s="254" t="str">
        <f t="shared" si="14"/>
        <v>-</v>
      </c>
      <c r="K103" s="254" t="str">
        <f t="shared" si="14"/>
        <v>-</v>
      </c>
      <c r="L103" s="254" t="str">
        <f t="shared" si="14"/>
        <v>-</v>
      </c>
      <c r="M103" s="254" t="str">
        <f t="shared" si="14"/>
        <v>-</v>
      </c>
      <c r="N103" s="255"/>
    </row>
    <row r="104" spans="1:14" s="256" customFormat="1" hidden="1" outlineLevel="2">
      <c r="A104" s="178"/>
      <c r="B104" s="252" t="s">
        <v>196</v>
      </c>
      <c r="C104" s="253" t="s">
        <v>173</v>
      </c>
      <c r="D104" s="173">
        <v>1</v>
      </c>
      <c r="E104" s="252">
        <v>2.6</v>
      </c>
      <c r="F104" s="252"/>
      <c r="G104" s="254" t="str">
        <f t="shared" si="14"/>
        <v>-</v>
      </c>
      <c r="H104" s="254" t="str">
        <f t="shared" si="14"/>
        <v>-</v>
      </c>
      <c r="I104" s="254">
        <f t="shared" si="14"/>
        <v>2.6</v>
      </c>
      <c r="J104" s="254" t="str">
        <f t="shared" si="14"/>
        <v>-</v>
      </c>
      <c r="K104" s="254" t="str">
        <f t="shared" si="14"/>
        <v>-</v>
      </c>
      <c r="L104" s="254" t="str">
        <f t="shared" si="14"/>
        <v>-</v>
      </c>
      <c r="M104" s="254" t="str">
        <f t="shared" si="14"/>
        <v>-</v>
      </c>
      <c r="N104" s="255"/>
    </row>
    <row r="105" spans="1:14" s="256" customFormat="1" hidden="1" outlineLevel="2">
      <c r="A105" s="178"/>
      <c r="B105" s="252" t="s">
        <v>198</v>
      </c>
      <c r="C105" s="253" t="s">
        <v>174</v>
      </c>
      <c r="D105" s="173">
        <v>1</v>
      </c>
      <c r="E105" s="252">
        <v>10.7</v>
      </c>
      <c r="F105" s="252">
        <v>2.2999999999999998</v>
      </c>
      <c r="G105" s="254" t="str">
        <f t="shared" si="14"/>
        <v>-</v>
      </c>
      <c r="H105" s="254" t="str">
        <f t="shared" si="14"/>
        <v>-</v>
      </c>
      <c r="I105" s="254" t="str">
        <f t="shared" si="14"/>
        <v>-</v>
      </c>
      <c r="J105" s="254" t="str">
        <f t="shared" si="14"/>
        <v>-</v>
      </c>
      <c r="K105" s="254" t="str">
        <f t="shared" si="14"/>
        <v>-</v>
      </c>
      <c r="L105" s="254" t="str">
        <f t="shared" si="14"/>
        <v>-</v>
      </c>
      <c r="M105" s="254" t="str">
        <f t="shared" si="14"/>
        <v>-</v>
      </c>
      <c r="N105" s="255"/>
    </row>
    <row r="106" spans="1:14" s="256" customFormat="1" hidden="1" outlineLevel="2">
      <c r="A106" s="178"/>
      <c r="B106" s="257" t="s">
        <v>212</v>
      </c>
      <c r="C106" s="253" t="s">
        <v>174</v>
      </c>
      <c r="D106" s="173">
        <v>-1</v>
      </c>
      <c r="E106" s="252">
        <v>0.8</v>
      </c>
      <c r="F106" s="252">
        <v>2.2200000000000002</v>
      </c>
      <c r="G106" s="254" t="str">
        <f t="shared" si="14"/>
        <v>-</v>
      </c>
      <c r="H106" s="254" t="str">
        <f t="shared" si="14"/>
        <v>-</v>
      </c>
      <c r="I106" s="254" t="str">
        <f t="shared" si="14"/>
        <v>-</v>
      </c>
      <c r="J106" s="254" t="str">
        <f t="shared" si="14"/>
        <v>-</v>
      </c>
      <c r="K106" s="254" t="str">
        <f t="shared" si="14"/>
        <v>-</v>
      </c>
      <c r="L106" s="254" t="str">
        <f t="shared" si="14"/>
        <v>-</v>
      </c>
      <c r="M106" s="254" t="str">
        <f t="shared" si="14"/>
        <v>-</v>
      </c>
      <c r="N106" s="255"/>
    </row>
    <row r="107" spans="1:14" s="256" customFormat="1" hidden="1" outlineLevel="2">
      <c r="A107" s="178"/>
      <c r="B107" s="257" t="s">
        <v>199</v>
      </c>
      <c r="C107" s="253" t="s">
        <v>174</v>
      </c>
      <c r="D107" s="173">
        <v>-1</v>
      </c>
      <c r="E107" s="252">
        <v>1.6</v>
      </c>
      <c r="F107" s="252">
        <v>1.7</v>
      </c>
      <c r="G107" s="254" t="str">
        <f t="shared" si="14"/>
        <v>-</v>
      </c>
      <c r="H107" s="254" t="str">
        <f t="shared" si="14"/>
        <v>-</v>
      </c>
      <c r="I107" s="254" t="str">
        <f t="shared" si="14"/>
        <v>-</v>
      </c>
      <c r="J107" s="254" t="str">
        <f t="shared" si="14"/>
        <v>-</v>
      </c>
      <c r="K107" s="254" t="str">
        <f t="shared" si="14"/>
        <v>-</v>
      </c>
      <c r="L107" s="254" t="str">
        <f t="shared" si="14"/>
        <v>-</v>
      </c>
      <c r="M107" s="254" t="str">
        <f t="shared" si="14"/>
        <v>-</v>
      </c>
      <c r="N107" s="255"/>
    </row>
    <row r="108" spans="1:14" s="256" customFormat="1" hidden="1" outlineLevel="2">
      <c r="A108" s="178"/>
      <c r="B108" s="257" t="s">
        <v>200</v>
      </c>
      <c r="C108" s="253" t="s">
        <v>174</v>
      </c>
      <c r="D108" s="173">
        <v>-2</v>
      </c>
      <c r="E108" s="252">
        <v>0.85</v>
      </c>
      <c r="F108" s="252">
        <v>0.55000000000000004</v>
      </c>
      <c r="G108" s="254" t="str">
        <f t="shared" si="14"/>
        <v>-</v>
      </c>
      <c r="H108" s="254" t="str">
        <f t="shared" si="14"/>
        <v>-</v>
      </c>
      <c r="I108" s="254" t="str">
        <f t="shared" si="14"/>
        <v>-</v>
      </c>
      <c r="J108" s="254" t="str">
        <f t="shared" si="14"/>
        <v>-</v>
      </c>
      <c r="K108" s="254" t="str">
        <f t="shared" si="14"/>
        <v>-</v>
      </c>
      <c r="L108" s="254" t="str">
        <f t="shared" si="14"/>
        <v>-</v>
      </c>
      <c r="M108" s="254" t="str">
        <f t="shared" si="14"/>
        <v>-</v>
      </c>
      <c r="N108" s="255"/>
    </row>
    <row r="109" spans="1:14" s="256" customFormat="1" hidden="1" outlineLevel="2">
      <c r="A109" s="178"/>
      <c r="B109" s="258" t="s">
        <v>201</v>
      </c>
      <c r="C109" s="253" t="s">
        <v>174</v>
      </c>
      <c r="D109" s="173">
        <v>1</v>
      </c>
      <c r="E109" s="252">
        <v>2.1</v>
      </c>
      <c r="F109" s="252">
        <v>0.25</v>
      </c>
      <c r="G109" s="254" t="str">
        <f t="shared" si="14"/>
        <v>-</v>
      </c>
      <c r="H109" s="254" t="str">
        <f t="shared" si="14"/>
        <v>-</v>
      </c>
      <c r="I109" s="254" t="str">
        <f t="shared" si="14"/>
        <v>-</v>
      </c>
      <c r="J109" s="254" t="str">
        <f t="shared" si="14"/>
        <v>-</v>
      </c>
      <c r="K109" s="254" t="str">
        <f t="shared" si="14"/>
        <v>-</v>
      </c>
      <c r="L109" s="254" t="str">
        <f t="shared" si="14"/>
        <v>-</v>
      </c>
      <c r="M109" s="254" t="str">
        <f t="shared" si="14"/>
        <v>-</v>
      </c>
      <c r="N109" s="255"/>
    </row>
    <row r="110" spans="1:14" s="256" customFormat="1" hidden="1" outlineLevel="2">
      <c r="A110" s="178"/>
      <c r="B110" s="252" t="s">
        <v>202</v>
      </c>
      <c r="C110" s="253" t="s">
        <v>176</v>
      </c>
      <c r="D110" s="173">
        <v>1</v>
      </c>
      <c r="E110" s="252">
        <v>2.1</v>
      </c>
      <c r="F110" s="252">
        <v>1.05</v>
      </c>
      <c r="G110" s="254" t="str">
        <f t="shared" si="14"/>
        <v>-</v>
      </c>
      <c r="H110" s="254" t="str">
        <f t="shared" si="14"/>
        <v>-</v>
      </c>
      <c r="I110" s="254" t="str">
        <f t="shared" si="14"/>
        <v>-</v>
      </c>
      <c r="J110" s="254" t="str">
        <f t="shared" si="14"/>
        <v>-</v>
      </c>
      <c r="K110" s="254" t="str">
        <f t="shared" si="14"/>
        <v>-</v>
      </c>
      <c r="L110" s="254" t="str">
        <f t="shared" si="14"/>
        <v>-</v>
      </c>
      <c r="M110" s="254" t="str">
        <f t="shared" si="14"/>
        <v>-</v>
      </c>
      <c r="N110" s="255"/>
    </row>
    <row r="111" spans="1:14" s="256" customFormat="1" hidden="1" outlineLevel="2">
      <c r="A111" s="178"/>
      <c r="B111" s="257" t="s">
        <v>203</v>
      </c>
      <c r="C111" s="253" t="s">
        <v>176</v>
      </c>
      <c r="D111" s="173">
        <v>-1</v>
      </c>
      <c r="E111" s="252">
        <v>1.65</v>
      </c>
      <c r="F111" s="252">
        <v>0.7</v>
      </c>
      <c r="G111" s="254" t="str">
        <f t="shared" si="14"/>
        <v>-</v>
      </c>
      <c r="H111" s="254" t="str">
        <f t="shared" si="14"/>
        <v>-</v>
      </c>
      <c r="I111" s="254" t="str">
        <f t="shared" si="14"/>
        <v>-</v>
      </c>
      <c r="J111" s="254" t="str">
        <f t="shared" si="14"/>
        <v>-</v>
      </c>
      <c r="K111" s="254" t="str">
        <f t="shared" si="14"/>
        <v>-</v>
      </c>
      <c r="L111" s="254" t="str">
        <f t="shared" si="14"/>
        <v>-</v>
      </c>
      <c r="M111" s="254" t="str">
        <f t="shared" si="14"/>
        <v>-</v>
      </c>
      <c r="N111" s="255"/>
    </row>
    <row r="112" spans="1:14" s="256" customFormat="1" hidden="1" outlineLevel="2">
      <c r="A112" s="178"/>
      <c r="B112" s="252" t="s">
        <v>204</v>
      </c>
      <c r="C112" s="253" t="s">
        <v>177</v>
      </c>
      <c r="D112" s="173">
        <v>1</v>
      </c>
      <c r="E112" s="252"/>
      <c r="F112" s="252"/>
      <c r="G112" s="254" t="str">
        <f t="shared" si="14"/>
        <v>-</v>
      </c>
      <c r="H112" s="254" t="str">
        <f t="shared" si="14"/>
        <v>-</v>
      </c>
      <c r="I112" s="254" t="str">
        <f t="shared" si="14"/>
        <v>-</v>
      </c>
      <c r="J112" s="254" t="str">
        <f t="shared" si="14"/>
        <v>-</v>
      </c>
      <c r="K112" s="254">
        <f t="shared" si="14"/>
        <v>1</v>
      </c>
      <c r="L112" s="254" t="str">
        <f t="shared" si="14"/>
        <v>-</v>
      </c>
      <c r="M112" s="254" t="str">
        <f t="shared" si="14"/>
        <v>-</v>
      </c>
      <c r="N112" s="255"/>
    </row>
    <row r="113" spans="1:14" s="256" customFormat="1" hidden="1" outlineLevel="2">
      <c r="A113" s="178"/>
      <c r="B113" s="252" t="s">
        <v>205</v>
      </c>
      <c r="C113" s="253" t="s">
        <v>178</v>
      </c>
      <c r="D113" s="173">
        <v>1</v>
      </c>
      <c r="E113" s="252"/>
      <c r="F113" s="252"/>
      <c r="G113" s="254" t="str">
        <f t="shared" si="14"/>
        <v>-</v>
      </c>
      <c r="H113" s="254" t="str">
        <f t="shared" si="14"/>
        <v>-</v>
      </c>
      <c r="I113" s="254" t="str">
        <f t="shared" si="14"/>
        <v>-</v>
      </c>
      <c r="J113" s="254" t="str">
        <f t="shared" si="14"/>
        <v>-</v>
      </c>
      <c r="K113" s="254" t="str">
        <f t="shared" si="14"/>
        <v>-</v>
      </c>
      <c r="L113" s="254">
        <f t="shared" si="14"/>
        <v>1</v>
      </c>
      <c r="M113" s="254" t="str">
        <f t="shared" si="14"/>
        <v>-</v>
      </c>
      <c r="N113" s="255"/>
    </row>
    <row r="114" spans="1:14" s="256" customFormat="1" hidden="1" outlineLevel="2">
      <c r="A114" s="259"/>
      <c r="B114" s="252"/>
      <c r="C114" s="253"/>
      <c r="D114" s="173"/>
      <c r="E114" s="252"/>
      <c r="F114" s="252"/>
      <c r="G114" s="254" t="str">
        <f t="shared" si="14"/>
        <v>-</v>
      </c>
      <c r="H114" s="254" t="str">
        <f t="shared" si="14"/>
        <v>-</v>
      </c>
      <c r="I114" s="254" t="str">
        <f t="shared" si="14"/>
        <v>-</v>
      </c>
      <c r="J114" s="254" t="str">
        <f t="shared" si="14"/>
        <v>-</v>
      </c>
      <c r="K114" s="254" t="str">
        <f t="shared" si="14"/>
        <v>-</v>
      </c>
      <c r="L114" s="254" t="str">
        <f t="shared" si="14"/>
        <v>-</v>
      </c>
      <c r="M114" s="254" t="str">
        <f t="shared" si="14"/>
        <v>-</v>
      </c>
      <c r="N114" s="255"/>
    </row>
    <row r="115" spans="1:14" s="251" customFormat="1" ht="15" hidden="1" outlineLevel="1" collapsed="1">
      <c r="A115" s="245"/>
      <c r="B115" s="246" t="s">
        <v>213</v>
      </c>
      <c r="C115" s="245"/>
      <c r="D115" s="247">
        <v>1</v>
      </c>
      <c r="E115" s="248"/>
      <c r="F115" s="248"/>
      <c r="G115" s="249">
        <f>SUBTOTAL(9,G116:G135)</f>
        <v>20.399999999999999</v>
      </c>
      <c r="H115" s="249">
        <f t="shared" ref="H115:M115" si="15">SUBTOTAL(9,H116:H135)</f>
        <v>5.3</v>
      </c>
      <c r="I115" s="249">
        <f t="shared" si="15"/>
        <v>4.2799999999999994</v>
      </c>
      <c r="J115" s="249">
        <f t="shared" si="15"/>
        <v>0.36</v>
      </c>
      <c r="K115" s="249">
        <f t="shared" si="15"/>
        <v>1</v>
      </c>
      <c r="L115" s="249">
        <f t="shared" si="15"/>
        <v>1</v>
      </c>
      <c r="M115" s="249">
        <f t="shared" si="15"/>
        <v>0</v>
      </c>
      <c r="N115" s="250"/>
    </row>
    <row r="116" spans="1:14" s="256" customFormat="1" hidden="1" outlineLevel="2">
      <c r="A116" s="178"/>
      <c r="B116" s="252" t="s">
        <v>189</v>
      </c>
      <c r="C116" s="253" t="s">
        <v>169</v>
      </c>
      <c r="D116" s="173">
        <v>1</v>
      </c>
      <c r="E116" s="252">
        <v>20.399999999999999</v>
      </c>
      <c r="F116" s="252"/>
      <c r="G116" s="254">
        <f t="shared" ref="G116:M140" si="16">IF($C116=G$5,PRODUCT($D116:$F116),"-")</f>
        <v>20.399999999999999</v>
      </c>
      <c r="H116" s="254" t="str">
        <f t="shared" si="16"/>
        <v>-</v>
      </c>
      <c r="I116" s="254" t="str">
        <f t="shared" si="16"/>
        <v>-</v>
      </c>
      <c r="J116" s="254" t="str">
        <f t="shared" si="16"/>
        <v>-</v>
      </c>
      <c r="K116" s="254" t="str">
        <f t="shared" si="16"/>
        <v>-</v>
      </c>
      <c r="L116" s="254" t="str">
        <f t="shared" si="16"/>
        <v>-</v>
      </c>
      <c r="M116" s="254" t="str">
        <f t="shared" si="16"/>
        <v>-</v>
      </c>
      <c r="N116" s="255"/>
    </row>
    <row r="117" spans="1:14" s="256" customFormat="1" hidden="1" outlineLevel="2">
      <c r="A117" s="178"/>
      <c r="B117" s="252" t="s">
        <v>190</v>
      </c>
      <c r="C117" s="253" t="s">
        <v>170</v>
      </c>
      <c r="D117" s="173">
        <v>1</v>
      </c>
      <c r="E117" s="252">
        <v>19.7</v>
      </c>
      <c r="F117" s="252"/>
      <c r="G117" s="254" t="str">
        <f t="shared" si="16"/>
        <v>-</v>
      </c>
      <c r="H117" s="254" t="str">
        <f t="shared" si="16"/>
        <v>-</v>
      </c>
      <c r="I117" s="254" t="str">
        <f t="shared" si="16"/>
        <v>-</v>
      </c>
      <c r="J117" s="254" t="str">
        <f t="shared" si="16"/>
        <v>-</v>
      </c>
      <c r="K117" s="254" t="str">
        <f t="shared" si="16"/>
        <v>-</v>
      </c>
      <c r="L117" s="254" t="str">
        <f t="shared" si="16"/>
        <v>-</v>
      </c>
      <c r="M117" s="254" t="str">
        <f t="shared" si="16"/>
        <v>-</v>
      </c>
      <c r="N117" s="255"/>
    </row>
    <row r="118" spans="1:14" s="256" customFormat="1" hidden="1" outlineLevel="2">
      <c r="A118" s="178"/>
      <c r="B118" s="257" t="s">
        <v>191</v>
      </c>
      <c r="C118" s="253" t="s">
        <v>170</v>
      </c>
      <c r="D118" s="173">
        <v>-1</v>
      </c>
      <c r="E118" s="252">
        <v>1.2</v>
      </c>
      <c r="F118" s="252"/>
      <c r="G118" s="254" t="str">
        <f t="shared" si="16"/>
        <v>-</v>
      </c>
      <c r="H118" s="254" t="str">
        <f t="shared" si="16"/>
        <v>-</v>
      </c>
      <c r="I118" s="254" t="str">
        <f t="shared" si="16"/>
        <v>-</v>
      </c>
      <c r="J118" s="254" t="str">
        <f t="shared" si="16"/>
        <v>-</v>
      </c>
      <c r="K118" s="254" t="str">
        <f t="shared" si="16"/>
        <v>-</v>
      </c>
      <c r="L118" s="254" t="str">
        <f t="shared" si="16"/>
        <v>-</v>
      </c>
      <c r="M118" s="254" t="str">
        <f t="shared" si="16"/>
        <v>-</v>
      </c>
      <c r="N118" s="255"/>
    </row>
    <row r="119" spans="1:14" s="256" customFormat="1" hidden="1" outlineLevel="2">
      <c r="A119" s="178"/>
      <c r="B119" s="257" t="s">
        <v>192</v>
      </c>
      <c r="C119" s="253" t="s">
        <v>170</v>
      </c>
      <c r="D119" s="173">
        <v>-1</v>
      </c>
      <c r="E119" s="252">
        <v>3.2</v>
      </c>
      <c r="F119" s="252"/>
      <c r="G119" s="254" t="str">
        <f t="shared" si="16"/>
        <v>-</v>
      </c>
      <c r="H119" s="254" t="str">
        <f t="shared" si="16"/>
        <v>-</v>
      </c>
      <c r="I119" s="254" t="str">
        <f t="shared" si="16"/>
        <v>-</v>
      </c>
      <c r="J119" s="254" t="str">
        <f t="shared" si="16"/>
        <v>-</v>
      </c>
      <c r="K119" s="254" t="str">
        <f t="shared" si="16"/>
        <v>-</v>
      </c>
      <c r="L119" s="254" t="str">
        <f t="shared" si="16"/>
        <v>-</v>
      </c>
      <c r="M119" s="254" t="str">
        <f t="shared" si="16"/>
        <v>-</v>
      </c>
      <c r="N119" s="255"/>
    </row>
    <row r="120" spans="1:14" s="256" customFormat="1" hidden="1" outlineLevel="2">
      <c r="A120" s="178"/>
      <c r="B120" s="252" t="s">
        <v>193</v>
      </c>
      <c r="C120" s="253" t="s">
        <v>171</v>
      </c>
      <c r="D120" s="173">
        <v>1</v>
      </c>
      <c r="E120" s="252">
        <v>5.3</v>
      </c>
      <c r="F120" s="252"/>
      <c r="G120" s="254" t="str">
        <f t="shared" si="16"/>
        <v>-</v>
      </c>
      <c r="H120" s="254">
        <f t="shared" si="16"/>
        <v>5.3</v>
      </c>
      <c r="I120" s="254" t="str">
        <f t="shared" si="16"/>
        <v>-</v>
      </c>
      <c r="J120" s="254" t="str">
        <f t="shared" si="16"/>
        <v>-</v>
      </c>
      <c r="K120" s="254" t="str">
        <f t="shared" si="16"/>
        <v>-</v>
      </c>
      <c r="L120" s="254" t="str">
        <f t="shared" si="16"/>
        <v>-</v>
      </c>
      <c r="M120" s="254" t="str">
        <f t="shared" si="16"/>
        <v>-</v>
      </c>
      <c r="N120" s="255"/>
    </row>
    <row r="121" spans="1:14" s="256" customFormat="1" hidden="1" outlineLevel="2">
      <c r="A121" s="178"/>
      <c r="B121" s="252" t="s">
        <v>194</v>
      </c>
      <c r="C121" s="253" t="s">
        <v>172</v>
      </c>
      <c r="D121" s="173">
        <v>1</v>
      </c>
      <c r="E121" s="252">
        <v>11</v>
      </c>
      <c r="F121" s="252"/>
      <c r="G121" s="254" t="str">
        <f t="shared" si="16"/>
        <v>-</v>
      </c>
      <c r="H121" s="254" t="str">
        <f t="shared" si="16"/>
        <v>-</v>
      </c>
      <c r="I121" s="254" t="str">
        <f t="shared" si="16"/>
        <v>-</v>
      </c>
      <c r="J121" s="254" t="str">
        <f t="shared" si="16"/>
        <v>-</v>
      </c>
      <c r="K121" s="254" t="str">
        <f t="shared" si="16"/>
        <v>-</v>
      </c>
      <c r="L121" s="254" t="str">
        <f t="shared" si="16"/>
        <v>-</v>
      </c>
      <c r="M121" s="254" t="str">
        <f t="shared" si="16"/>
        <v>-</v>
      </c>
      <c r="N121" s="255"/>
    </row>
    <row r="122" spans="1:14" s="256" customFormat="1" hidden="1" outlineLevel="2">
      <c r="A122" s="178"/>
      <c r="B122" s="257" t="s">
        <v>191</v>
      </c>
      <c r="C122" s="253" t="s">
        <v>172</v>
      </c>
      <c r="D122" s="173">
        <v>-1</v>
      </c>
      <c r="E122" s="252">
        <f>1.2+0.8*2</f>
        <v>2.8</v>
      </c>
      <c r="F122" s="252"/>
      <c r="G122" s="254" t="str">
        <f t="shared" si="16"/>
        <v>-</v>
      </c>
      <c r="H122" s="254" t="str">
        <f t="shared" si="16"/>
        <v>-</v>
      </c>
      <c r="I122" s="254" t="str">
        <f t="shared" si="16"/>
        <v>-</v>
      </c>
      <c r="J122" s="254" t="str">
        <f t="shared" si="16"/>
        <v>-</v>
      </c>
      <c r="K122" s="254" t="str">
        <f t="shared" si="16"/>
        <v>-</v>
      </c>
      <c r="L122" s="254" t="str">
        <f t="shared" si="16"/>
        <v>-</v>
      </c>
      <c r="M122" s="254" t="str">
        <f t="shared" si="16"/>
        <v>-</v>
      </c>
      <c r="N122" s="255"/>
    </row>
    <row r="123" spans="1:14" s="256" customFormat="1" hidden="1" outlineLevel="2">
      <c r="A123" s="178"/>
      <c r="B123" s="257" t="s">
        <v>195</v>
      </c>
      <c r="C123" s="253" t="s">
        <v>172</v>
      </c>
      <c r="D123" s="173">
        <v>-1</v>
      </c>
      <c r="E123" s="252">
        <v>2</v>
      </c>
      <c r="F123" s="252"/>
      <c r="G123" s="254" t="str">
        <f t="shared" si="16"/>
        <v>-</v>
      </c>
      <c r="H123" s="254" t="str">
        <f t="shared" si="16"/>
        <v>-</v>
      </c>
      <c r="I123" s="254" t="str">
        <f t="shared" si="16"/>
        <v>-</v>
      </c>
      <c r="J123" s="254" t="str">
        <f t="shared" si="16"/>
        <v>-</v>
      </c>
      <c r="K123" s="254" t="str">
        <f t="shared" si="16"/>
        <v>-</v>
      </c>
      <c r="L123" s="254" t="str">
        <f t="shared" si="16"/>
        <v>-</v>
      </c>
      <c r="M123" s="254" t="str">
        <f t="shared" si="16"/>
        <v>-</v>
      </c>
      <c r="N123" s="255"/>
    </row>
    <row r="124" spans="1:14" s="256" customFormat="1" hidden="1" outlineLevel="2">
      <c r="A124" s="178"/>
      <c r="B124" s="252" t="s">
        <v>196</v>
      </c>
      <c r="C124" s="253" t="s">
        <v>173</v>
      </c>
      <c r="D124" s="173">
        <v>1</v>
      </c>
      <c r="E124" s="252">
        <f>4.64-0.18*2</f>
        <v>4.2799999999999994</v>
      </c>
      <c r="F124" s="252"/>
      <c r="G124" s="254" t="str">
        <f t="shared" si="16"/>
        <v>-</v>
      </c>
      <c r="H124" s="254" t="str">
        <f t="shared" si="16"/>
        <v>-</v>
      </c>
      <c r="I124" s="254">
        <f t="shared" si="16"/>
        <v>4.2799999999999994</v>
      </c>
      <c r="J124" s="254" t="str">
        <f t="shared" si="16"/>
        <v>-</v>
      </c>
      <c r="K124" s="254" t="str">
        <f t="shared" si="16"/>
        <v>-</v>
      </c>
      <c r="L124" s="254" t="str">
        <f t="shared" si="16"/>
        <v>-</v>
      </c>
      <c r="M124" s="254" t="str">
        <f t="shared" si="16"/>
        <v>-</v>
      </c>
      <c r="N124" s="255"/>
    </row>
    <row r="125" spans="1:14" s="256" customFormat="1" hidden="1" outlineLevel="2">
      <c r="A125" s="178"/>
      <c r="B125" s="252" t="s">
        <v>197</v>
      </c>
      <c r="C125" s="253" t="s">
        <v>175</v>
      </c>
      <c r="D125" s="173">
        <v>1</v>
      </c>
      <c r="E125" s="252">
        <f>0.3*0.6*2</f>
        <v>0.36</v>
      </c>
      <c r="F125" s="252"/>
      <c r="G125" s="254" t="str">
        <f t="shared" si="16"/>
        <v>-</v>
      </c>
      <c r="H125" s="254" t="str">
        <f t="shared" si="16"/>
        <v>-</v>
      </c>
      <c r="I125" s="254" t="str">
        <f t="shared" si="16"/>
        <v>-</v>
      </c>
      <c r="J125" s="254">
        <f t="shared" si="16"/>
        <v>0.36</v>
      </c>
      <c r="K125" s="254" t="str">
        <f t="shared" si="16"/>
        <v>-</v>
      </c>
      <c r="L125" s="254" t="str">
        <f t="shared" si="16"/>
        <v>-</v>
      </c>
      <c r="M125" s="254" t="str">
        <f t="shared" si="16"/>
        <v>-</v>
      </c>
      <c r="N125" s="255"/>
    </row>
    <row r="126" spans="1:14" s="256" customFormat="1" hidden="1" outlineLevel="2">
      <c r="A126" s="178"/>
      <c r="B126" s="252" t="s">
        <v>198</v>
      </c>
      <c r="C126" s="253" t="s">
        <v>174</v>
      </c>
      <c r="D126" s="173">
        <v>1</v>
      </c>
      <c r="E126" s="252">
        <v>12.2</v>
      </c>
      <c r="F126" s="252">
        <v>2.2999999999999998</v>
      </c>
      <c r="G126" s="254" t="str">
        <f t="shared" si="16"/>
        <v>-</v>
      </c>
      <c r="H126" s="254" t="str">
        <f t="shared" si="16"/>
        <v>-</v>
      </c>
      <c r="I126" s="254" t="str">
        <f t="shared" si="16"/>
        <v>-</v>
      </c>
      <c r="J126" s="254" t="str">
        <f t="shared" si="16"/>
        <v>-</v>
      </c>
      <c r="K126" s="254" t="str">
        <f t="shared" si="16"/>
        <v>-</v>
      </c>
      <c r="L126" s="254" t="str">
        <f t="shared" si="16"/>
        <v>-</v>
      </c>
      <c r="M126" s="254" t="str">
        <f t="shared" si="16"/>
        <v>-</v>
      </c>
      <c r="N126" s="255"/>
    </row>
    <row r="127" spans="1:14" s="256" customFormat="1" hidden="1" outlineLevel="2">
      <c r="A127" s="178"/>
      <c r="B127" s="257" t="s">
        <v>212</v>
      </c>
      <c r="C127" s="253" t="s">
        <v>174</v>
      </c>
      <c r="D127" s="173">
        <v>-1</v>
      </c>
      <c r="E127" s="252">
        <v>0.8</v>
      </c>
      <c r="F127" s="252">
        <v>2.2200000000000002</v>
      </c>
      <c r="G127" s="254" t="str">
        <f t="shared" si="16"/>
        <v>-</v>
      </c>
      <c r="H127" s="254" t="str">
        <f t="shared" si="16"/>
        <v>-</v>
      </c>
      <c r="I127" s="254" t="str">
        <f t="shared" si="16"/>
        <v>-</v>
      </c>
      <c r="J127" s="254" t="str">
        <f t="shared" si="16"/>
        <v>-</v>
      </c>
      <c r="K127" s="254" t="str">
        <f t="shared" si="16"/>
        <v>-</v>
      </c>
      <c r="L127" s="254" t="str">
        <f t="shared" si="16"/>
        <v>-</v>
      </c>
      <c r="M127" s="254" t="str">
        <f t="shared" si="16"/>
        <v>-</v>
      </c>
      <c r="N127" s="255"/>
    </row>
    <row r="128" spans="1:14" s="256" customFormat="1" hidden="1" outlineLevel="2">
      <c r="A128" s="178"/>
      <c r="B128" s="257" t="s">
        <v>199</v>
      </c>
      <c r="C128" s="253" t="s">
        <v>174</v>
      </c>
      <c r="D128" s="173">
        <v>-1</v>
      </c>
      <c r="E128" s="252">
        <v>1.75</v>
      </c>
      <c r="F128" s="252">
        <v>1.7</v>
      </c>
      <c r="G128" s="254" t="str">
        <f t="shared" si="16"/>
        <v>-</v>
      </c>
      <c r="H128" s="254" t="str">
        <f t="shared" si="16"/>
        <v>-</v>
      </c>
      <c r="I128" s="254" t="str">
        <f t="shared" si="16"/>
        <v>-</v>
      </c>
      <c r="J128" s="254" t="str">
        <f t="shared" si="16"/>
        <v>-</v>
      </c>
      <c r="K128" s="254" t="str">
        <f t="shared" si="16"/>
        <v>-</v>
      </c>
      <c r="L128" s="254" t="str">
        <f t="shared" si="16"/>
        <v>-</v>
      </c>
      <c r="M128" s="254" t="str">
        <f t="shared" si="16"/>
        <v>-</v>
      </c>
      <c r="N128" s="255"/>
    </row>
    <row r="129" spans="1:14" s="256" customFormat="1" hidden="1" outlineLevel="2">
      <c r="A129" s="178"/>
      <c r="B129" s="257" t="s">
        <v>200</v>
      </c>
      <c r="C129" s="253" t="s">
        <v>174</v>
      </c>
      <c r="D129" s="173">
        <v>-2</v>
      </c>
      <c r="E129" s="252">
        <v>0.85</v>
      </c>
      <c r="F129" s="252">
        <v>0.55000000000000004</v>
      </c>
      <c r="G129" s="254" t="str">
        <f t="shared" si="16"/>
        <v>-</v>
      </c>
      <c r="H129" s="254" t="str">
        <f t="shared" si="16"/>
        <v>-</v>
      </c>
      <c r="I129" s="254" t="str">
        <f t="shared" si="16"/>
        <v>-</v>
      </c>
      <c r="J129" s="254" t="str">
        <f t="shared" si="16"/>
        <v>-</v>
      </c>
      <c r="K129" s="254" t="str">
        <f t="shared" si="16"/>
        <v>-</v>
      </c>
      <c r="L129" s="254" t="str">
        <f t="shared" si="16"/>
        <v>-</v>
      </c>
      <c r="M129" s="254" t="str">
        <f t="shared" si="16"/>
        <v>-</v>
      </c>
      <c r="N129" s="255"/>
    </row>
    <row r="130" spans="1:14" s="256" customFormat="1" hidden="1" outlineLevel="2">
      <c r="A130" s="178"/>
      <c r="B130" s="258" t="s">
        <v>201</v>
      </c>
      <c r="C130" s="253" t="s">
        <v>174</v>
      </c>
      <c r="D130" s="173">
        <v>1</v>
      </c>
      <c r="E130" s="252">
        <v>2.15</v>
      </c>
      <c r="F130" s="252">
        <v>0.25</v>
      </c>
      <c r="G130" s="254" t="str">
        <f t="shared" si="16"/>
        <v>-</v>
      </c>
      <c r="H130" s="254" t="str">
        <f t="shared" si="16"/>
        <v>-</v>
      </c>
      <c r="I130" s="254" t="str">
        <f t="shared" si="16"/>
        <v>-</v>
      </c>
      <c r="J130" s="254" t="str">
        <f t="shared" si="16"/>
        <v>-</v>
      </c>
      <c r="K130" s="254" t="str">
        <f t="shared" si="16"/>
        <v>-</v>
      </c>
      <c r="L130" s="254" t="str">
        <f t="shared" si="16"/>
        <v>-</v>
      </c>
      <c r="M130" s="254" t="str">
        <f t="shared" si="16"/>
        <v>-</v>
      </c>
      <c r="N130" s="255"/>
    </row>
    <row r="131" spans="1:14" s="256" customFormat="1" hidden="1" outlineLevel="2">
      <c r="A131" s="178"/>
      <c r="B131" s="252" t="s">
        <v>202</v>
      </c>
      <c r="C131" s="253" t="s">
        <v>176</v>
      </c>
      <c r="D131" s="173">
        <v>1</v>
      </c>
      <c r="E131" s="252">
        <v>2.15</v>
      </c>
      <c r="F131" s="252">
        <v>0.85</v>
      </c>
      <c r="G131" s="254" t="str">
        <f t="shared" si="16"/>
        <v>-</v>
      </c>
      <c r="H131" s="254" t="str">
        <f t="shared" si="16"/>
        <v>-</v>
      </c>
      <c r="I131" s="254" t="str">
        <f t="shared" si="16"/>
        <v>-</v>
      </c>
      <c r="J131" s="254" t="str">
        <f t="shared" si="16"/>
        <v>-</v>
      </c>
      <c r="K131" s="254" t="str">
        <f t="shared" si="16"/>
        <v>-</v>
      </c>
      <c r="L131" s="254" t="str">
        <f t="shared" si="16"/>
        <v>-</v>
      </c>
      <c r="M131" s="254" t="str">
        <f t="shared" si="16"/>
        <v>-</v>
      </c>
      <c r="N131" s="255"/>
    </row>
    <row r="132" spans="1:14" s="256" customFormat="1" hidden="1" outlineLevel="2">
      <c r="A132" s="178"/>
      <c r="B132" s="257" t="s">
        <v>203</v>
      </c>
      <c r="C132" s="253" t="s">
        <v>176</v>
      </c>
      <c r="D132" s="173">
        <v>-1</v>
      </c>
      <c r="E132" s="252">
        <v>1.65</v>
      </c>
      <c r="F132" s="252">
        <v>0.7</v>
      </c>
      <c r="G132" s="254" t="str">
        <f t="shared" si="16"/>
        <v>-</v>
      </c>
      <c r="H132" s="254" t="str">
        <f t="shared" si="16"/>
        <v>-</v>
      </c>
      <c r="I132" s="254" t="str">
        <f t="shared" si="16"/>
        <v>-</v>
      </c>
      <c r="J132" s="254" t="str">
        <f t="shared" si="16"/>
        <v>-</v>
      </c>
      <c r="K132" s="254" t="str">
        <f t="shared" si="16"/>
        <v>-</v>
      </c>
      <c r="L132" s="254" t="str">
        <f t="shared" si="16"/>
        <v>-</v>
      </c>
      <c r="M132" s="254" t="str">
        <f t="shared" si="16"/>
        <v>-</v>
      </c>
      <c r="N132" s="255"/>
    </row>
    <row r="133" spans="1:14" s="256" customFormat="1" hidden="1" outlineLevel="2">
      <c r="A133" s="178"/>
      <c r="B133" s="252" t="s">
        <v>204</v>
      </c>
      <c r="C133" s="253" t="s">
        <v>177</v>
      </c>
      <c r="D133" s="173">
        <v>1</v>
      </c>
      <c r="E133" s="252"/>
      <c r="F133" s="252"/>
      <c r="G133" s="254" t="str">
        <f t="shared" si="16"/>
        <v>-</v>
      </c>
      <c r="H133" s="254" t="str">
        <f t="shared" si="16"/>
        <v>-</v>
      </c>
      <c r="I133" s="254" t="str">
        <f t="shared" si="16"/>
        <v>-</v>
      </c>
      <c r="J133" s="254" t="str">
        <f t="shared" si="16"/>
        <v>-</v>
      </c>
      <c r="K133" s="254">
        <f t="shared" si="16"/>
        <v>1</v>
      </c>
      <c r="L133" s="254" t="str">
        <f t="shared" si="16"/>
        <v>-</v>
      </c>
      <c r="M133" s="254" t="str">
        <f t="shared" si="16"/>
        <v>-</v>
      </c>
      <c r="N133" s="255"/>
    </row>
    <row r="134" spans="1:14" s="256" customFormat="1" hidden="1" outlineLevel="2">
      <c r="A134" s="178"/>
      <c r="B134" s="252" t="s">
        <v>205</v>
      </c>
      <c r="C134" s="253" t="s">
        <v>178</v>
      </c>
      <c r="D134" s="173">
        <v>1</v>
      </c>
      <c r="E134" s="252"/>
      <c r="F134" s="252"/>
      <c r="G134" s="254" t="str">
        <f t="shared" si="16"/>
        <v>-</v>
      </c>
      <c r="H134" s="254" t="str">
        <f t="shared" si="16"/>
        <v>-</v>
      </c>
      <c r="I134" s="254" t="str">
        <f t="shared" si="16"/>
        <v>-</v>
      </c>
      <c r="J134" s="254" t="str">
        <f t="shared" si="16"/>
        <v>-</v>
      </c>
      <c r="K134" s="254" t="str">
        <f t="shared" si="16"/>
        <v>-</v>
      </c>
      <c r="L134" s="254">
        <f t="shared" si="16"/>
        <v>1</v>
      </c>
      <c r="M134" s="254" t="str">
        <f t="shared" si="16"/>
        <v>-</v>
      </c>
      <c r="N134" s="255"/>
    </row>
    <row r="135" spans="1:14" s="256" customFormat="1" hidden="1" outlineLevel="2">
      <c r="A135" s="259"/>
      <c r="B135" s="252"/>
      <c r="C135" s="253"/>
      <c r="D135" s="173"/>
      <c r="E135" s="252"/>
      <c r="F135" s="252"/>
      <c r="G135" s="254" t="str">
        <f t="shared" si="16"/>
        <v>-</v>
      </c>
      <c r="H135" s="254" t="str">
        <f t="shared" si="16"/>
        <v>-</v>
      </c>
      <c r="I135" s="254" t="str">
        <f t="shared" si="16"/>
        <v>-</v>
      </c>
      <c r="J135" s="254" t="str">
        <f t="shared" si="16"/>
        <v>-</v>
      </c>
      <c r="K135" s="254" t="str">
        <f t="shared" si="16"/>
        <v>-</v>
      </c>
      <c r="L135" s="254" t="str">
        <f t="shared" si="16"/>
        <v>-</v>
      </c>
      <c r="M135" s="254" t="str">
        <f t="shared" si="16"/>
        <v>-</v>
      </c>
      <c r="N135" s="255"/>
    </row>
    <row r="136" spans="1:14" s="251" customFormat="1" ht="15" hidden="1" outlineLevel="1" collapsed="1">
      <c r="A136" s="245"/>
      <c r="B136" s="246" t="s">
        <v>214</v>
      </c>
      <c r="C136" s="245"/>
      <c r="D136" s="247">
        <v>1</v>
      </c>
      <c r="E136" s="248"/>
      <c r="F136" s="248"/>
      <c r="G136" s="249">
        <f>SUBTOTAL(9,G137:G149)</f>
        <v>21.3</v>
      </c>
      <c r="H136" s="249">
        <f t="shared" ref="H136:M136" si="17">SUBTOTAL(9,H137:H149)</f>
        <v>12.4</v>
      </c>
      <c r="I136" s="249">
        <f t="shared" si="17"/>
        <v>2.7</v>
      </c>
      <c r="J136" s="249">
        <f t="shared" si="17"/>
        <v>0</v>
      </c>
      <c r="K136" s="249">
        <f t="shared" si="17"/>
        <v>2</v>
      </c>
      <c r="L136" s="249">
        <f t="shared" si="17"/>
        <v>1</v>
      </c>
      <c r="M136" s="249">
        <f t="shared" si="17"/>
        <v>0</v>
      </c>
      <c r="N136" s="250"/>
    </row>
    <row r="137" spans="1:14" s="256" customFormat="1" hidden="1" outlineLevel="2">
      <c r="A137" s="178"/>
      <c r="B137" s="252" t="s">
        <v>189</v>
      </c>
      <c r="C137" s="253" t="s">
        <v>169</v>
      </c>
      <c r="D137" s="173">
        <v>1</v>
      </c>
      <c r="E137" s="252">
        <v>21.3</v>
      </c>
      <c r="F137" s="252"/>
      <c r="G137" s="254">
        <f t="shared" si="16"/>
        <v>21.3</v>
      </c>
      <c r="H137" s="254" t="str">
        <f t="shared" si="16"/>
        <v>-</v>
      </c>
      <c r="I137" s="254" t="str">
        <f t="shared" si="16"/>
        <v>-</v>
      </c>
      <c r="J137" s="254" t="str">
        <f t="shared" si="16"/>
        <v>-</v>
      </c>
      <c r="K137" s="254" t="str">
        <f t="shared" si="16"/>
        <v>-</v>
      </c>
      <c r="L137" s="254" t="str">
        <f t="shared" si="16"/>
        <v>-</v>
      </c>
      <c r="M137" s="254" t="str">
        <f t="shared" si="16"/>
        <v>-</v>
      </c>
      <c r="N137" s="255"/>
    </row>
    <row r="138" spans="1:14" s="256" customFormat="1" hidden="1" outlineLevel="2">
      <c r="A138" s="178"/>
      <c r="B138" s="252" t="s">
        <v>190</v>
      </c>
      <c r="C138" s="253" t="s">
        <v>170</v>
      </c>
      <c r="D138" s="173">
        <v>1</v>
      </c>
      <c r="E138" s="252">
        <v>20.399999999999999</v>
      </c>
      <c r="F138" s="252"/>
      <c r="G138" s="254" t="str">
        <f t="shared" si="16"/>
        <v>-</v>
      </c>
      <c r="H138" s="254" t="str">
        <f t="shared" si="16"/>
        <v>-</v>
      </c>
      <c r="I138" s="254" t="str">
        <f t="shared" si="16"/>
        <v>-</v>
      </c>
      <c r="J138" s="254" t="str">
        <f t="shared" si="16"/>
        <v>-</v>
      </c>
      <c r="K138" s="254" t="str">
        <f t="shared" si="16"/>
        <v>-</v>
      </c>
      <c r="L138" s="254" t="str">
        <f t="shared" si="16"/>
        <v>-</v>
      </c>
      <c r="M138" s="254" t="str">
        <f t="shared" si="16"/>
        <v>-</v>
      </c>
      <c r="N138" s="255"/>
    </row>
    <row r="139" spans="1:14" s="256" customFormat="1" hidden="1" outlineLevel="2">
      <c r="A139" s="178"/>
      <c r="B139" s="257" t="s">
        <v>191</v>
      </c>
      <c r="C139" s="253" t="s">
        <v>170</v>
      </c>
      <c r="D139" s="173">
        <v>-1</v>
      </c>
      <c r="E139" s="252">
        <f>2.6+0.8</f>
        <v>3.4000000000000004</v>
      </c>
      <c r="F139" s="252"/>
      <c r="G139" s="254" t="str">
        <f t="shared" si="16"/>
        <v>-</v>
      </c>
      <c r="H139" s="254" t="str">
        <f t="shared" si="16"/>
        <v>-</v>
      </c>
      <c r="I139" s="254" t="str">
        <f t="shared" si="16"/>
        <v>-</v>
      </c>
      <c r="J139" s="254" t="str">
        <f t="shared" si="16"/>
        <v>-</v>
      </c>
      <c r="K139" s="254" t="str">
        <f t="shared" si="16"/>
        <v>-</v>
      </c>
      <c r="L139" s="254" t="str">
        <f t="shared" si="16"/>
        <v>-</v>
      </c>
      <c r="M139" s="254" t="str">
        <f t="shared" si="16"/>
        <v>-</v>
      </c>
      <c r="N139" s="255"/>
    </row>
    <row r="140" spans="1:14" s="256" customFormat="1" hidden="1" outlineLevel="2">
      <c r="A140" s="178"/>
      <c r="B140" s="257" t="s">
        <v>192</v>
      </c>
      <c r="C140" s="253" t="s">
        <v>170</v>
      </c>
      <c r="D140" s="173">
        <v>-1</v>
      </c>
      <c r="E140" s="252">
        <v>2.8</v>
      </c>
      <c r="F140" s="252"/>
      <c r="G140" s="254" t="str">
        <f t="shared" si="16"/>
        <v>-</v>
      </c>
      <c r="H140" s="254" t="str">
        <f t="shared" ref="H140:M140" si="18">IF($C140=H$5,PRODUCT($D140:$F140),"-")</f>
        <v>-</v>
      </c>
      <c r="I140" s="254" t="str">
        <f t="shared" si="18"/>
        <v>-</v>
      </c>
      <c r="J140" s="254" t="str">
        <f t="shared" si="18"/>
        <v>-</v>
      </c>
      <c r="K140" s="254" t="str">
        <f t="shared" si="18"/>
        <v>-</v>
      </c>
      <c r="L140" s="254" t="str">
        <f t="shared" si="18"/>
        <v>-</v>
      </c>
      <c r="M140" s="254" t="str">
        <f t="shared" si="18"/>
        <v>-</v>
      </c>
      <c r="N140" s="255"/>
    </row>
    <row r="141" spans="1:14" s="256" customFormat="1" hidden="1" outlineLevel="2">
      <c r="A141" s="178"/>
      <c r="B141" s="252" t="s">
        <v>193</v>
      </c>
      <c r="C141" s="253" t="s">
        <v>171</v>
      </c>
      <c r="D141" s="173">
        <v>1</v>
      </c>
      <c r="E141" s="252">
        <v>12.4</v>
      </c>
      <c r="F141" s="252"/>
      <c r="G141" s="254" t="str">
        <f t="shared" ref="G141:M149" si="19">IF($C141=G$5,PRODUCT($D141:$F141),"-")</f>
        <v>-</v>
      </c>
      <c r="H141" s="254">
        <f t="shared" si="19"/>
        <v>12.4</v>
      </c>
      <c r="I141" s="254" t="str">
        <f t="shared" si="19"/>
        <v>-</v>
      </c>
      <c r="J141" s="254" t="str">
        <f t="shared" si="19"/>
        <v>-</v>
      </c>
      <c r="K141" s="254" t="str">
        <f t="shared" si="19"/>
        <v>-</v>
      </c>
      <c r="L141" s="254" t="str">
        <f t="shared" si="19"/>
        <v>-</v>
      </c>
      <c r="M141" s="254" t="str">
        <f t="shared" si="19"/>
        <v>-</v>
      </c>
      <c r="N141" s="255"/>
    </row>
    <row r="142" spans="1:14" s="256" customFormat="1" hidden="1" outlineLevel="2">
      <c r="A142" s="178"/>
      <c r="B142" s="252" t="s">
        <v>194</v>
      </c>
      <c r="C142" s="253" t="s">
        <v>172</v>
      </c>
      <c r="D142" s="173">
        <v>1</v>
      </c>
      <c r="E142" s="252">
        <v>15.7</v>
      </c>
      <c r="F142" s="252"/>
      <c r="G142" s="254" t="str">
        <f t="shared" si="19"/>
        <v>-</v>
      </c>
      <c r="H142" s="254" t="str">
        <f t="shared" si="19"/>
        <v>-</v>
      </c>
      <c r="I142" s="254" t="str">
        <f t="shared" si="19"/>
        <v>-</v>
      </c>
      <c r="J142" s="254" t="str">
        <f t="shared" si="19"/>
        <v>-</v>
      </c>
      <c r="K142" s="254" t="str">
        <f t="shared" si="19"/>
        <v>-</v>
      </c>
      <c r="L142" s="254" t="str">
        <f t="shared" si="19"/>
        <v>-</v>
      </c>
      <c r="M142" s="254" t="str">
        <f t="shared" si="19"/>
        <v>-</v>
      </c>
      <c r="N142" s="255"/>
    </row>
    <row r="143" spans="1:14" s="256" customFormat="1" hidden="1" outlineLevel="2">
      <c r="A143" s="178"/>
      <c r="B143" s="257" t="s">
        <v>191</v>
      </c>
      <c r="C143" s="253" t="s">
        <v>172</v>
      </c>
      <c r="D143" s="173">
        <v>-1</v>
      </c>
      <c r="E143" s="252">
        <f>2.6+0.8</f>
        <v>3.4000000000000004</v>
      </c>
      <c r="F143" s="252"/>
      <c r="G143" s="254" t="str">
        <f t="shared" si="19"/>
        <v>-</v>
      </c>
      <c r="H143" s="254" t="str">
        <f t="shared" si="19"/>
        <v>-</v>
      </c>
      <c r="I143" s="254" t="str">
        <f t="shared" si="19"/>
        <v>-</v>
      </c>
      <c r="J143" s="254" t="str">
        <f t="shared" si="19"/>
        <v>-</v>
      </c>
      <c r="K143" s="254" t="str">
        <f t="shared" si="19"/>
        <v>-</v>
      </c>
      <c r="L143" s="254" t="str">
        <f t="shared" si="19"/>
        <v>-</v>
      </c>
      <c r="M143" s="254" t="str">
        <f t="shared" si="19"/>
        <v>-</v>
      </c>
      <c r="N143" s="255"/>
    </row>
    <row r="144" spans="1:14" s="256" customFormat="1" hidden="1" outlineLevel="2">
      <c r="A144" s="178"/>
      <c r="B144" s="252" t="s">
        <v>196</v>
      </c>
      <c r="C144" s="253" t="s">
        <v>173</v>
      </c>
      <c r="D144" s="173">
        <v>1</v>
      </c>
      <c r="E144" s="252">
        <v>2.7</v>
      </c>
      <c r="F144" s="252"/>
      <c r="G144" s="254" t="str">
        <f t="shared" si="19"/>
        <v>-</v>
      </c>
      <c r="H144" s="254" t="str">
        <f t="shared" si="19"/>
        <v>-</v>
      </c>
      <c r="I144" s="254">
        <f t="shared" si="19"/>
        <v>2.7</v>
      </c>
      <c r="J144" s="254" t="str">
        <f t="shared" si="19"/>
        <v>-</v>
      </c>
      <c r="K144" s="254" t="str">
        <f t="shared" si="19"/>
        <v>-</v>
      </c>
      <c r="L144" s="254" t="str">
        <f t="shared" si="19"/>
        <v>-</v>
      </c>
      <c r="M144" s="254" t="str">
        <f t="shared" si="19"/>
        <v>-</v>
      </c>
      <c r="N144" s="255"/>
    </row>
    <row r="145" spans="1:14" s="256" customFormat="1" hidden="1" outlineLevel="2">
      <c r="A145" s="178"/>
      <c r="B145" s="252" t="s">
        <v>198</v>
      </c>
      <c r="C145" s="253" t="s">
        <v>174</v>
      </c>
      <c r="D145" s="173">
        <v>1</v>
      </c>
      <c r="E145" s="252">
        <v>6.7</v>
      </c>
      <c r="F145" s="252">
        <v>2.2999999999999998</v>
      </c>
      <c r="G145" s="254" t="str">
        <f t="shared" si="19"/>
        <v>-</v>
      </c>
      <c r="H145" s="254" t="str">
        <f t="shared" si="19"/>
        <v>-</v>
      </c>
      <c r="I145" s="254" t="str">
        <f t="shared" si="19"/>
        <v>-</v>
      </c>
      <c r="J145" s="254" t="str">
        <f t="shared" si="19"/>
        <v>-</v>
      </c>
      <c r="K145" s="254" t="str">
        <f t="shared" si="19"/>
        <v>-</v>
      </c>
      <c r="L145" s="254" t="str">
        <f t="shared" si="19"/>
        <v>-</v>
      </c>
      <c r="M145" s="254" t="str">
        <f t="shared" si="19"/>
        <v>-</v>
      </c>
      <c r="N145" s="255"/>
    </row>
    <row r="146" spans="1:14" s="256" customFormat="1" hidden="1" outlineLevel="2">
      <c r="A146" s="178"/>
      <c r="B146" s="257" t="s">
        <v>191</v>
      </c>
      <c r="C146" s="253" t="s">
        <v>174</v>
      </c>
      <c r="D146" s="173">
        <v>-1</v>
      </c>
      <c r="E146" s="252">
        <v>0.8</v>
      </c>
      <c r="F146" s="252">
        <v>2.2000000000000002</v>
      </c>
      <c r="G146" s="254" t="str">
        <f t="shared" si="19"/>
        <v>-</v>
      </c>
      <c r="H146" s="254" t="str">
        <f t="shared" si="19"/>
        <v>-</v>
      </c>
      <c r="I146" s="254" t="str">
        <f t="shared" si="19"/>
        <v>-</v>
      </c>
      <c r="J146" s="254" t="str">
        <f t="shared" si="19"/>
        <v>-</v>
      </c>
      <c r="K146" s="254" t="str">
        <f t="shared" si="19"/>
        <v>-</v>
      </c>
      <c r="L146" s="254" t="str">
        <f t="shared" si="19"/>
        <v>-</v>
      </c>
      <c r="M146" s="254" t="str">
        <f t="shared" si="19"/>
        <v>-</v>
      </c>
      <c r="N146" s="255"/>
    </row>
    <row r="147" spans="1:14" s="256" customFormat="1" hidden="1" outlineLevel="2">
      <c r="A147" s="178"/>
      <c r="B147" s="252" t="s">
        <v>204</v>
      </c>
      <c r="C147" s="253" t="s">
        <v>177</v>
      </c>
      <c r="D147" s="173">
        <v>2</v>
      </c>
      <c r="E147" s="252"/>
      <c r="F147" s="252"/>
      <c r="G147" s="254" t="str">
        <f t="shared" si="19"/>
        <v>-</v>
      </c>
      <c r="H147" s="254" t="str">
        <f t="shared" si="19"/>
        <v>-</v>
      </c>
      <c r="I147" s="254" t="str">
        <f t="shared" si="19"/>
        <v>-</v>
      </c>
      <c r="J147" s="254" t="str">
        <f t="shared" si="19"/>
        <v>-</v>
      </c>
      <c r="K147" s="254">
        <f t="shared" si="19"/>
        <v>2</v>
      </c>
      <c r="L147" s="254" t="str">
        <f t="shared" si="19"/>
        <v>-</v>
      </c>
      <c r="M147" s="254" t="str">
        <f t="shared" si="19"/>
        <v>-</v>
      </c>
      <c r="N147" s="255"/>
    </row>
    <row r="148" spans="1:14" s="256" customFormat="1" hidden="1" outlineLevel="2">
      <c r="A148" s="178"/>
      <c r="B148" s="252" t="s">
        <v>205</v>
      </c>
      <c r="C148" s="253" t="s">
        <v>178</v>
      </c>
      <c r="D148" s="173">
        <v>1</v>
      </c>
      <c r="E148" s="252"/>
      <c r="F148" s="252"/>
      <c r="G148" s="254" t="str">
        <f t="shared" si="19"/>
        <v>-</v>
      </c>
      <c r="H148" s="254" t="str">
        <f t="shared" si="19"/>
        <v>-</v>
      </c>
      <c r="I148" s="254" t="str">
        <f t="shared" si="19"/>
        <v>-</v>
      </c>
      <c r="J148" s="254" t="str">
        <f t="shared" si="19"/>
        <v>-</v>
      </c>
      <c r="K148" s="254" t="str">
        <f t="shared" si="19"/>
        <v>-</v>
      </c>
      <c r="L148" s="254">
        <f t="shared" si="19"/>
        <v>1</v>
      </c>
      <c r="M148" s="254" t="str">
        <f t="shared" si="19"/>
        <v>-</v>
      </c>
      <c r="N148" s="255"/>
    </row>
    <row r="149" spans="1:14" s="256" customFormat="1" hidden="1" outlineLevel="2">
      <c r="A149" s="259"/>
      <c r="B149" s="252"/>
      <c r="C149" s="253"/>
      <c r="D149" s="173"/>
      <c r="E149" s="252"/>
      <c r="F149" s="252"/>
      <c r="G149" s="254" t="str">
        <f t="shared" si="19"/>
        <v>-</v>
      </c>
      <c r="H149" s="254" t="str">
        <f t="shared" si="19"/>
        <v>-</v>
      </c>
      <c r="I149" s="254" t="str">
        <f t="shared" si="19"/>
        <v>-</v>
      </c>
      <c r="J149" s="254" t="str">
        <f t="shared" si="19"/>
        <v>-</v>
      </c>
      <c r="K149" s="254" t="str">
        <f t="shared" si="19"/>
        <v>-</v>
      </c>
      <c r="L149" s="254" t="str">
        <f t="shared" si="19"/>
        <v>-</v>
      </c>
      <c r="M149" s="254" t="str">
        <f t="shared" si="19"/>
        <v>-</v>
      </c>
      <c r="N149" s="255"/>
    </row>
    <row r="150" spans="1:14" s="251" customFormat="1" ht="15" hidden="1" outlineLevel="1" collapsed="1">
      <c r="A150" s="245"/>
      <c r="B150" s="246" t="s">
        <v>215</v>
      </c>
      <c r="C150" s="245"/>
      <c r="D150" s="247">
        <v>1</v>
      </c>
      <c r="E150" s="248"/>
      <c r="F150" s="248"/>
      <c r="G150" s="249">
        <f>SUBTOTAL(9,G151:G171)</f>
        <v>40.200000000000003</v>
      </c>
      <c r="H150" s="249">
        <f t="shared" ref="H150:M150" si="20">SUBTOTAL(9,H151:H171)</f>
        <v>9.5</v>
      </c>
      <c r="I150" s="249">
        <f t="shared" si="20"/>
        <v>9.879999999999999</v>
      </c>
      <c r="J150" s="249">
        <f t="shared" si="20"/>
        <v>0.72</v>
      </c>
      <c r="K150" s="249">
        <f t="shared" si="20"/>
        <v>1</v>
      </c>
      <c r="L150" s="249">
        <f t="shared" si="20"/>
        <v>2</v>
      </c>
      <c r="M150" s="249">
        <f t="shared" si="20"/>
        <v>0</v>
      </c>
      <c r="N150" s="250"/>
    </row>
    <row r="151" spans="1:14" s="256" customFormat="1" hidden="1" outlineLevel="2">
      <c r="A151" s="178"/>
      <c r="B151" s="252" t="s">
        <v>189</v>
      </c>
      <c r="C151" s="253" t="s">
        <v>169</v>
      </c>
      <c r="D151" s="173">
        <v>1</v>
      </c>
      <c r="E151" s="252">
        <f>20.3+19.9</f>
        <v>40.200000000000003</v>
      </c>
      <c r="F151" s="252"/>
      <c r="G151" s="254">
        <f t="shared" ref="G151:M171" si="21">IF($C151=G$5,PRODUCT($D151:$F151),"-")</f>
        <v>40.200000000000003</v>
      </c>
      <c r="H151" s="254" t="str">
        <f t="shared" si="21"/>
        <v>-</v>
      </c>
      <c r="I151" s="254" t="str">
        <f t="shared" si="21"/>
        <v>-</v>
      </c>
      <c r="J151" s="254" t="str">
        <f t="shared" si="21"/>
        <v>-</v>
      </c>
      <c r="K151" s="254" t="str">
        <f t="shared" si="21"/>
        <v>-</v>
      </c>
      <c r="L151" s="254" t="str">
        <f t="shared" si="21"/>
        <v>-</v>
      </c>
      <c r="M151" s="254" t="str">
        <f t="shared" si="21"/>
        <v>-</v>
      </c>
      <c r="N151" s="255"/>
    </row>
    <row r="152" spans="1:14" s="256" customFormat="1" hidden="1" outlineLevel="2">
      <c r="A152" s="178"/>
      <c r="B152" s="252" t="s">
        <v>190</v>
      </c>
      <c r="C152" s="253" t="s">
        <v>170</v>
      </c>
      <c r="D152" s="173">
        <v>1</v>
      </c>
      <c r="E152" s="252">
        <f>19.7+19.3</f>
        <v>39</v>
      </c>
      <c r="F152" s="252"/>
      <c r="G152" s="254" t="str">
        <f t="shared" si="21"/>
        <v>-</v>
      </c>
      <c r="H152" s="254" t="str">
        <f t="shared" si="21"/>
        <v>-</v>
      </c>
      <c r="I152" s="254" t="str">
        <f t="shared" si="21"/>
        <v>-</v>
      </c>
      <c r="J152" s="254" t="str">
        <f t="shared" si="21"/>
        <v>-</v>
      </c>
      <c r="K152" s="254" t="str">
        <f t="shared" si="21"/>
        <v>-</v>
      </c>
      <c r="L152" s="254" t="str">
        <f t="shared" si="21"/>
        <v>-</v>
      </c>
      <c r="M152" s="254" t="str">
        <f t="shared" si="21"/>
        <v>-</v>
      </c>
      <c r="N152" s="255"/>
    </row>
    <row r="153" spans="1:14" s="256" customFormat="1" hidden="1" outlineLevel="2">
      <c r="A153" s="178"/>
      <c r="B153" s="257" t="s">
        <v>191</v>
      </c>
      <c r="C153" s="253" t="s">
        <v>170</v>
      </c>
      <c r="D153" s="173">
        <v>-1</v>
      </c>
      <c r="E153" s="252">
        <f>1.75+1.2</f>
        <v>2.95</v>
      </c>
      <c r="F153" s="252"/>
      <c r="G153" s="254" t="str">
        <f t="shared" si="21"/>
        <v>-</v>
      </c>
      <c r="H153" s="254" t="str">
        <f t="shared" si="21"/>
        <v>-</v>
      </c>
      <c r="I153" s="254" t="str">
        <f t="shared" si="21"/>
        <v>-</v>
      </c>
      <c r="J153" s="254" t="str">
        <f t="shared" si="21"/>
        <v>-</v>
      </c>
      <c r="K153" s="254" t="str">
        <f t="shared" si="21"/>
        <v>-</v>
      </c>
      <c r="L153" s="254" t="str">
        <f t="shared" si="21"/>
        <v>-</v>
      </c>
      <c r="M153" s="254" t="str">
        <f t="shared" si="21"/>
        <v>-</v>
      </c>
      <c r="N153" s="255"/>
    </row>
    <row r="154" spans="1:14" s="256" customFormat="1" hidden="1" outlineLevel="2">
      <c r="A154" s="178"/>
      <c r="B154" s="257" t="s">
        <v>192</v>
      </c>
      <c r="C154" s="253" t="s">
        <v>170</v>
      </c>
      <c r="D154" s="173">
        <v>-2</v>
      </c>
      <c r="E154" s="252">
        <f>2.8</f>
        <v>2.8</v>
      </c>
      <c r="F154" s="252"/>
      <c r="G154" s="254" t="str">
        <f t="shared" si="21"/>
        <v>-</v>
      </c>
      <c r="H154" s="254" t="str">
        <f t="shared" si="21"/>
        <v>-</v>
      </c>
      <c r="I154" s="254" t="str">
        <f t="shared" si="21"/>
        <v>-</v>
      </c>
      <c r="J154" s="254" t="str">
        <f t="shared" si="21"/>
        <v>-</v>
      </c>
      <c r="K154" s="254" t="str">
        <f t="shared" si="21"/>
        <v>-</v>
      </c>
      <c r="L154" s="254" t="str">
        <f t="shared" si="21"/>
        <v>-</v>
      </c>
      <c r="M154" s="254" t="str">
        <f t="shared" si="21"/>
        <v>-</v>
      </c>
      <c r="N154" s="255"/>
    </row>
    <row r="155" spans="1:14" s="256" customFormat="1" hidden="1" outlineLevel="2">
      <c r="A155" s="178"/>
      <c r="B155" s="252" t="s">
        <v>193</v>
      </c>
      <c r="C155" s="253" t="s">
        <v>171</v>
      </c>
      <c r="D155" s="173">
        <v>1</v>
      </c>
      <c r="E155" s="252">
        <f>4.2+5.3</f>
        <v>9.5</v>
      </c>
      <c r="F155" s="252"/>
      <c r="G155" s="254" t="str">
        <f t="shared" si="21"/>
        <v>-</v>
      </c>
      <c r="H155" s="254">
        <f t="shared" si="21"/>
        <v>9.5</v>
      </c>
      <c r="I155" s="254" t="str">
        <f t="shared" si="21"/>
        <v>-</v>
      </c>
      <c r="J155" s="254" t="str">
        <f t="shared" si="21"/>
        <v>-</v>
      </c>
      <c r="K155" s="254" t="str">
        <f t="shared" si="21"/>
        <v>-</v>
      </c>
      <c r="L155" s="254" t="str">
        <f t="shared" si="21"/>
        <v>-</v>
      </c>
      <c r="M155" s="254" t="str">
        <f t="shared" si="21"/>
        <v>-</v>
      </c>
      <c r="N155" s="255"/>
    </row>
    <row r="156" spans="1:14" s="256" customFormat="1" hidden="1" outlineLevel="2">
      <c r="A156" s="178"/>
      <c r="B156" s="252" t="s">
        <v>194</v>
      </c>
      <c r="C156" s="253" t="s">
        <v>172</v>
      </c>
      <c r="D156" s="173">
        <v>1</v>
      </c>
      <c r="E156" s="252">
        <f>11*2</f>
        <v>22</v>
      </c>
      <c r="F156" s="252"/>
      <c r="G156" s="254" t="str">
        <f t="shared" si="21"/>
        <v>-</v>
      </c>
      <c r="H156" s="254" t="str">
        <f t="shared" si="21"/>
        <v>-</v>
      </c>
      <c r="I156" s="254" t="str">
        <f t="shared" si="21"/>
        <v>-</v>
      </c>
      <c r="J156" s="254" t="str">
        <f t="shared" si="21"/>
        <v>-</v>
      </c>
      <c r="K156" s="254" t="str">
        <f t="shared" si="21"/>
        <v>-</v>
      </c>
      <c r="L156" s="254" t="str">
        <f t="shared" si="21"/>
        <v>-</v>
      </c>
      <c r="M156" s="254" t="str">
        <f t="shared" si="21"/>
        <v>-</v>
      </c>
      <c r="N156" s="255"/>
    </row>
    <row r="157" spans="1:14" s="256" customFormat="1" hidden="1" outlineLevel="2">
      <c r="A157" s="178"/>
      <c r="B157" s="257" t="s">
        <v>191</v>
      </c>
      <c r="C157" s="253" t="s">
        <v>172</v>
      </c>
      <c r="D157" s="173">
        <v>-1</v>
      </c>
      <c r="E157" s="252">
        <f>1.75+1.2+0.8*4</f>
        <v>6.15</v>
      </c>
      <c r="F157" s="252"/>
      <c r="G157" s="254" t="str">
        <f t="shared" si="21"/>
        <v>-</v>
      </c>
      <c r="H157" s="254" t="str">
        <f t="shared" si="21"/>
        <v>-</v>
      </c>
      <c r="I157" s="254" t="str">
        <f t="shared" si="21"/>
        <v>-</v>
      </c>
      <c r="J157" s="254" t="str">
        <f t="shared" si="21"/>
        <v>-</v>
      </c>
      <c r="K157" s="254" t="str">
        <f t="shared" si="21"/>
        <v>-</v>
      </c>
      <c r="L157" s="254" t="str">
        <f t="shared" si="21"/>
        <v>-</v>
      </c>
      <c r="M157" s="254" t="str">
        <f t="shared" si="21"/>
        <v>-</v>
      </c>
      <c r="N157" s="255"/>
    </row>
    <row r="158" spans="1:14" s="256" customFormat="1" hidden="1" outlineLevel="2">
      <c r="A158" s="178"/>
      <c r="B158" s="257" t="s">
        <v>195</v>
      </c>
      <c r="C158" s="253" t="s">
        <v>172</v>
      </c>
      <c r="D158" s="173">
        <v>-1</v>
      </c>
      <c r="E158" s="252">
        <v>2.6</v>
      </c>
      <c r="F158" s="252"/>
      <c r="G158" s="254" t="str">
        <f t="shared" si="21"/>
        <v>-</v>
      </c>
      <c r="H158" s="254" t="str">
        <f t="shared" si="21"/>
        <v>-</v>
      </c>
      <c r="I158" s="254" t="str">
        <f t="shared" si="21"/>
        <v>-</v>
      </c>
      <c r="J158" s="254" t="str">
        <f t="shared" si="21"/>
        <v>-</v>
      </c>
      <c r="K158" s="254" t="str">
        <f t="shared" si="21"/>
        <v>-</v>
      </c>
      <c r="L158" s="254" t="str">
        <f t="shared" si="21"/>
        <v>-</v>
      </c>
      <c r="M158" s="254" t="str">
        <f t="shared" si="21"/>
        <v>-</v>
      </c>
      <c r="N158" s="255"/>
    </row>
    <row r="159" spans="1:14" s="256" customFormat="1" hidden="1" outlineLevel="2">
      <c r="A159" s="178"/>
      <c r="B159" s="252" t="s">
        <v>196</v>
      </c>
      <c r="C159" s="253" t="s">
        <v>173</v>
      </c>
      <c r="D159" s="173">
        <v>2</v>
      </c>
      <c r="E159" s="252">
        <f>5.3-0.36</f>
        <v>4.9399999999999995</v>
      </c>
      <c r="F159" s="252"/>
      <c r="G159" s="254" t="str">
        <f t="shared" si="21"/>
        <v>-</v>
      </c>
      <c r="H159" s="254" t="str">
        <f t="shared" si="21"/>
        <v>-</v>
      </c>
      <c r="I159" s="254">
        <f t="shared" si="21"/>
        <v>9.879999999999999</v>
      </c>
      <c r="J159" s="254" t="str">
        <f t="shared" si="21"/>
        <v>-</v>
      </c>
      <c r="K159" s="254" t="str">
        <f t="shared" si="21"/>
        <v>-</v>
      </c>
      <c r="L159" s="254" t="str">
        <f t="shared" si="21"/>
        <v>-</v>
      </c>
      <c r="M159" s="254" t="str">
        <f t="shared" si="21"/>
        <v>-</v>
      </c>
      <c r="N159" s="255"/>
    </row>
    <row r="160" spans="1:14" s="256" customFormat="1" hidden="1" outlineLevel="2">
      <c r="A160" s="178"/>
      <c r="B160" s="252" t="s">
        <v>197</v>
      </c>
      <c r="C160" s="253" t="s">
        <v>175</v>
      </c>
      <c r="D160" s="173">
        <v>2</v>
      </c>
      <c r="E160" s="252">
        <f>0.3*0.6*2</f>
        <v>0.36</v>
      </c>
      <c r="F160" s="252"/>
      <c r="G160" s="254" t="str">
        <f t="shared" si="21"/>
        <v>-</v>
      </c>
      <c r="H160" s="254" t="str">
        <f t="shared" si="21"/>
        <v>-</v>
      </c>
      <c r="I160" s="254" t="str">
        <f t="shared" si="21"/>
        <v>-</v>
      </c>
      <c r="J160" s="254">
        <f t="shared" si="21"/>
        <v>0.72</v>
      </c>
      <c r="K160" s="254" t="str">
        <f t="shared" si="21"/>
        <v>-</v>
      </c>
      <c r="L160" s="254" t="str">
        <f t="shared" si="21"/>
        <v>-</v>
      </c>
      <c r="M160" s="254" t="str">
        <f t="shared" si="21"/>
        <v>-</v>
      </c>
      <c r="N160" s="255"/>
    </row>
    <row r="161" spans="1:14" s="256" customFormat="1" hidden="1" outlineLevel="2">
      <c r="A161" s="178"/>
      <c r="B161" s="252" t="s">
        <v>198</v>
      </c>
      <c r="C161" s="253" t="s">
        <v>174</v>
      </c>
      <c r="D161" s="173">
        <v>1</v>
      </c>
      <c r="E161" s="252">
        <f>11.4+12</f>
        <v>23.4</v>
      </c>
      <c r="F161" s="252">
        <v>2.2999999999999998</v>
      </c>
      <c r="G161" s="254" t="str">
        <f t="shared" si="21"/>
        <v>-</v>
      </c>
      <c r="H161" s="254" t="str">
        <f t="shared" si="21"/>
        <v>-</v>
      </c>
      <c r="I161" s="254" t="str">
        <f t="shared" si="21"/>
        <v>-</v>
      </c>
      <c r="J161" s="254" t="str">
        <f t="shared" si="21"/>
        <v>-</v>
      </c>
      <c r="K161" s="254" t="str">
        <f t="shared" si="21"/>
        <v>-</v>
      </c>
      <c r="L161" s="254" t="str">
        <f t="shared" si="21"/>
        <v>-</v>
      </c>
      <c r="M161" s="254" t="str">
        <f t="shared" si="21"/>
        <v>-</v>
      </c>
      <c r="N161" s="255"/>
    </row>
    <row r="162" spans="1:14" s="256" customFormat="1" hidden="1" outlineLevel="2">
      <c r="A162" s="178"/>
      <c r="B162" s="257" t="s">
        <v>212</v>
      </c>
      <c r="C162" s="253" t="s">
        <v>174</v>
      </c>
      <c r="D162" s="173">
        <v>-2</v>
      </c>
      <c r="E162" s="252">
        <v>0.8</v>
      </c>
      <c r="F162" s="252">
        <v>2.2000000000000002</v>
      </c>
      <c r="G162" s="254" t="str">
        <f t="shared" si="21"/>
        <v>-</v>
      </c>
      <c r="H162" s="254" t="str">
        <f t="shared" si="21"/>
        <v>-</v>
      </c>
      <c r="I162" s="254" t="str">
        <f t="shared" si="21"/>
        <v>-</v>
      </c>
      <c r="J162" s="254" t="str">
        <f t="shared" si="21"/>
        <v>-</v>
      </c>
      <c r="K162" s="254" t="str">
        <f t="shared" si="21"/>
        <v>-</v>
      </c>
      <c r="L162" s="254" t="str">
        <f t="shared" si="21"/>
        <v>-</v>
      </c>
      <c r="M162" s="254" t="str">
        <f t="shared" si="21"/>
        <v>-</v>
      </c>
      <c r="N162" s="255"/>
    </row>
    <row r="163" spans="1:14" s="256" customFormat="1" hidden="1" outlineLevel="2">
      <c r="A163" s="178"/>
      <c r="B163" s="257" t="s">
        <v>199</v>
      </c>
      <c r="C163" s="253" t="s">
        <v>174</v>
      </c>
      <c r="D163" s="173">
        <v>-2</v>
      </c>
      <c r="E163" s="252">
        <v>1.6</v>
      </c>
      <c r="F163" s="252">
        <v>1.7</v>
      </c>
      <c r="G163" s="254" t="str">
        <f t="shared" si="21"/>
        <v>-</v>
      </c>
      <c r="H163" s="254" t="str">
        <f t="shared" si="21"/>
        <v>-</v>
      </c>
      <c r="I163" s="254" t="str">
        <f t="shared" si="21"/>
        <v>-</v>
      </c>
      <c r="J163" s="254" t="str">
        <f t="shared" si="21"/>
        <v>-</v>
      </c>
      <c r="K163" s="254" t="str">
        <f t="shared" si="21"/>
        <v>-</v>
      </c>
      <c r="L163" s="254" t="str">
        <f t="shared" si="21"/>
        <v>-</v>
      </c>
      <c r="M163" s="254" t="str">
        <f t="shared" si="21"/>
        <v>-</v>
      </c>
      <c r="N163" s="255"/>
    </row>
    <row r="164" spans="1:14" s="256" customFormat="1" hidden="1" outlineLevel="2">
      <c r="A164" s="178"/>
      <c r="B164" s="257" t="s">
        <v>200</v>
      </c>
      <c r="C164" s="253" t="s">
        <v>174</v>
      </c>
      <c r="D164" s="173">
        <v>-4</v>
      </c>
      <c r="E164" s="252">
        <v>0.85</v>
      </c>
      <c r="F164" s="252">
        <v>0.55000000000000004</v>
      </c>
      <c r="G164" s="254" t="str">
        <f t="shared" si="21"/>
        <v>-</v>
      </c>
      <c r="H164" s="254" t="str">
        <f t="shared" si="21"/>
        <v>-</v>
      </c>
      <c r="I164" s="254" t="str">
        <f t="shared" si="21"/>
        <v>-</v>
      </c>
      <c r="J164" s="254" t="str">
        <f t="shared" si="21"/>
        <v>-</v>
      </c>
      <c r="K164" s="254" t="str">
        <f t="shared" si="21"/>
        <v>-</v>
      </c>
      <c r="L164" s="254" t="str">
        <f t="shared" si="21"/>
        <v>-</v>
      </c>
      <c r="M164" s="254" t="str">
        <f t="shared" si="21"/>
        <v>-</v>
      </c>
      <c r="N164" s="255"/>
    </row>
    <row r="165" spans="1:14" s="256" customFormat="1" hidden="1" outlineLevel="2">
      <c r="A165" s="178"/>
      <c r="B165" s="258" t="s">
        <v>201</v>
      </c>
      <c r="C165" s="253" t="s">
        <v>174</v>
      </c>
      <c r="D165" s="173">
        <v>1</v>
      </c>
      <c r="E165" s="252">
        <f>2.1+1.8</f>
        <v>3.9000000000000004</v>
      </c>
      <c r="F165" s="252">
        <v>0.25</v>
      </c>
      <c r="G165" s="254" t="str">
        <f t="shared" si="21"/>
        <v>-</v>
      </c>
      <c r="H165" s="254" t="str">
        <f t="shared" si="21"/>
        <v>-</v>
      </c>
      <c r="I165" s="254" t="str">
        <f t="shared" si="21"/>
        <v>-</v>
      </c>
      <c r="J165" s="254" t="str">
        <f t="shared" si="21"/>
        <v>-</v>
      </c>
      <c r="K165" s="254" t="str">
        <f t="shared" si="21"/>
        <v>-</v>
      </c>
      <c r="L165" s="254" t="str">
        <f t="shared" si="21"/>
        <v>-</v>
      </c>
      <c r="M165" s="254" t="str">
        <f t="shared" si="21"/>
        <v>-</v>
      </c>
      <c r="N165" s="255"/>
    </row>
    <row r="166" spans="1:14" s="256" customFormat="1" hidden="1" outlineLevel="2">
      <c r="A166" s="178"/>
      <c r="B166" s="252" t="s">
        <v>202</v>
      </c>
      <c r="C166" s="253" t="s">
        <v>176</v>
      </c>
      <c r="D166" s="173">
        <v>1</v>
      </c>
      <c r="E166" s="252">
        <v>2.1</v>
      </c>
      <c r="F166" s="252">
        <v>0.9</v>
      </c>
      <c r="G166" s="254" t="str">
        <f t="shared" si="21"/>
        <v>-</v>
      </c>
      <c r="H166" s="254" t="str">
        <f t="shared" si="21"/>
        <v>-</v>
      </c>
      <c r="I166" s="254" t="str">
        <f t="shared" si="21"/>
        <v>-</v>
      </c>
      <c r="J166" s="254" t="str">
        <f t="shared" si="21"/>
        <v>-</v>
      </c>
      <c r="K166" s="254" t="str">
        <f t="shared" si="21"/>
        <v>-</v>
      </c>
      <c r="L166" s="254" t="str">
        <f t="shared" si="21"/>
        <v>-</v>
      </c>
      <c r="M166" s="254" t="str">
        <f t="shared" si="21"/>
        <v>-</v>
      </c>
      <c r="N166" s="255"/>
    </row>
    <row r="167" spans="1:14" s="256" customFormat="1" hidden="1" outlineLevel="2">
      <c r="A167" s="178"/>
      <c r="B167" s="252" t="s">
        <v>202</v>
      </c>
      <c r="C167" s="253" t="s">
        <v>176</v>
      </c>
      <c r="D167" s="173">
        <v>1</v>
      </c>
      <c r="E167" s="252">
        <v>1.8</v>
      </c>
      <c r="F167" s="252">
        <v>0.9</v>
      </c>
      <c r="G167" s="254" t="str">
        <f t="shared" si="21"/>
        <v>-</v>
      </c>
      <c r="H167" s="254" t="str">
        <f t="shared" si="21"/>
        <v>-</v>
      </c>
      <c r="I167" s="254" t="str">
        <f t="shared" si="21"/>
        <v>-</v>
      </c>
      <c r="J167" s="254" t="str">
        <f t="shared" si="21"/>
        <v>-</v>
      </c>
      <c r="K167" s="254" t="str">
        <f t="shared" si="21"/>
        <v>-</v>
      </c>
      <c r="L167" s="254" t="str">
        <f t="shared" si="21"/>
        <v>-</v>
      </c>
      <c r="M167" s="254" t="str">
        <f t="shared" si="21"/>
        <v>-</v>
      </c>
      <c r="N167" s="255"/>
    </row>
    <row r="168" spans="1:14" s="256" customFormat="1" hidden="1" outlineLevel="2">
      <c r="A168" s="178"/>
      <c r="B168" s="257" t="s">
        <v>203</v>
      </c>
      <c r="C168" s="253" t="s">
        <v>176</v>
      </c>
      <c r="D168" s="173">
        <v>-2</v>
      </c>
      <c r="E168" s="252">
        <v>1.65</v>
      </c>
      <c r="F168" s="252">
        <v>0.7</v>
      </c>
      <c r="G168" s="254" t="str">
        <f t="shared" si="21"/>
        <v>-</v>
      </c>
      <c r="H168" s="254" t="str">
        <f t="shared" si="21"/>
        <v>-</v>
      </c>
      <c r="I168" s="254" t="str">
        <f t="shared" si="21"/>
        <v>-</v>
      </c>
      <c r="J168" s="254" t="str">
        <f t="shared" si="21"/>
        <v>-</v>
      </c>
      <c r="K168" s="254" t="str">
        <f t="shared" si="21"/>
        <v>-</v>
      </c>
      <c r="L168" s="254" t="str">
        <f t="shared" si="21"/>
        <v>-</v>
      </c>
      <c r="M168" s="254" t="str">
        <f t="shared" si="21"/>
        <v>-</v>
      </c>
      <c r="N168" s="255"/>
    </row>
    <row r="169" spans="1:14" s="256" customFormat="1" hidden="1" outlineLevel="2">
      <c r="A169" s="178"/>
      <c r="B169" s="252" t="s">
        <v>204</v>
      </c>
      <c r="C169" s="253" t="s">
        <v>177</v>
      </c>
      <c r="D169" s="173">
        <v>1</v>
      </c>
      <c r="E169" s="252"/>
      <c r="F169" s="252"/>
      <c r="G169" s="254" t="str">
        <f t="shared" si="21"/>
        <v>-</v>
      </c>
      <c r="H169" s="254" t="str">
        <f t="shared" si="21"/>
        <v>-</v>
      </c>
      <c r="I169" s="254" t="str">
        <f t="shared" si="21"/>
        <v>-</v>
      </c>
      <c r="J169" s="254" t="str">
        <f t="shared" si="21"/>
        <v>-</v>
      </c>
      <c r="K169" s="254">
        <f t="shared" si="21"/>
        <v>1</v>
      </c>
      <c r="L169" s="254" t="str">
        <f t="shared" si="21"/>
        <v>-</v>
      </c>
      <c r="M169" s="254" t="str">
        <f t="shared" si="21"/>
        <v>-</v>
      </c>
      <c r="N169" s="255"/>
    </row>
    <row r="170" spans="1:14" s="256" customFormat="1" hidden="1" outlineLevel="2">
      <c r="A170" s="178"/>
      <c r="B170" s="252" t="s">
        <v>205</v>
      </c>
      <c r="C170" s="253" t="s">
        <v>178</v>
      </c>
      <c r="D170" s="173">
        <v>2</v>
      </c>
      <c r="E170" s="252"/>
      <c r="F170" s="252"/>
      <c r="G170" s="254" t="str">
        <f t="shared" si="21"/>
        <v>-</v>
      </c>
      <c r="H170" s="254" t="str">
        <f t="shared" si="21"/>
        <v>-</v>
      </c>
      <c r="I170" s="254" t="str">
        <f t="shared" si="21"/>
        <v>-</v>
      </c>
      <c r="J170" s="254" t="str">
        <f t="shared" si="21"/>
        <v>-</v>
      </c>
      <c r="K170" s="254" t="str">
        <f t="shared" si="21"/>
        <v>-</v>
      </c>
      <c r="L170" s="254">
        <f t="shared" si="21"/>
        <v>2</v>
      </c>
      <c r="M170" s="254" t="str">
        <f t="shared" si="21"/>
        <v>-</v>
      </c>
      <c r="N170" s="255"/>
    </row>
    <row r="171" spans="1:14" s="256" customFormat="1" hidden="1" outlineLevel="2">
      <c r="A171" s="259"/>
      <c r="B171" s="252"/>
      <c r="C171" s="253"/>
      <c r="D171" s="173"/>
      <c r="E171" s="252"/>
      <c r="F171" s="252"/>
      <c r="G171" s="254" t="str">
        <f t="shared" si="21"/>
        <v>-</v>
      </c>
      <c r="H171" s="254" t="str">
        <f t="shared" si="21"/>
        <v>-</v>
      </c>
      <c r="I171" s="254" t="str">
        <f t="shared" si="21"/>
        <v>-</v>
      </c>
      <c r="J171" s="254" t="str">
        <f t="shared" si="21"/>
        <v>-</v>
      </c>
      <c r="K171" s="254" t="str">
        <f t="shared" si="21"/>
        <v>-</v>
      </c>
      <c r="L171" s="254" t="str">
        <f t="shared" si="21"/>
        <v>-</v>
      </c>
      <c r="M171" s="254" t="str">
        <f t="shared" si="21"/>
        <v>-</v>
      </c>
      <c r="N171" s="255"/>
    </row>
    <row r="172" spans="1:14" s="236" customFormat="1" ht="15" hidden="1" outlineLevel="1">
      <c r="A172" s="260"/>
      <c r="B172" s="261" t="s">
        <v>216</v>
      </c>
      <c r="C172" s="260"/>
      <c r="D172" s="262" t="s">
        <v>217</v>
      </c>
      <c r="E172" s="263"/>
      <c r="F172" s="263"/>
      <c r="G172" s="264">
        <f t="shared" ref="G172:M172" si="22">SUM(G$115,G$136,G$150)</f>
        <v>81.900000000000006</v>
      </c>
      <c r="H172" s="264">
        <f t="shared" si="22"/>
        <v>27.2</v>
      </c>
      <c r="I172" s="264">
        <f t="shared" si="22"/>
        <v>16.86</v>
      </c>
      <c r="J172" s="264">
        <f t="shared" si="22"/>
        <v>1.08</v>
      </c>
      <c r="K172" s="264">
        <f t="shared" si="22"/>
        <v>4</v>
      </c>
      <c r="L172" s="264">
        <f t="shared" si="22"/>
        <v>4</v>
      </c>
      <c r="M172" s="264">
        <f t="shared" si="22"/>
        <v>0</v>
      </c>
      <c r="N172" s="265" t="s">
        <v>218</v>
      </c>
    </row>
    <row r="173" spans="1:14" s="251" customFormat="1" ht="15" hidden="1" outlineLevel="1" collapsed="1">
      <c r="A173" s="245"/>
      <c r="B173" s="246" t="s">
        <v>219</v>
      </c>
      <c r="C173" s="245"/>
      <c r="D173" s="247">
        <v>1</v>
      </c>
      <c r="E173" s="248"/>
      <c r="F173" s="248"/>
      <c r="G173" s="249">
        <f>SUBTOTAL(9,G174:G193)</f>
        <v>20.399999999999999</v>
      </c>
      <c r="H173" s="249">
        <f t="shared" ref="H173:M173" si="23">SUBTOTAL(9,H174:H193)</f>
        <v>5</v>
      </c>
      <c r="I173" s="249">
        <f t="shared" si="23"/>
        <v>4.34</v>
      </c>
      <c r="J173" s="249">
        <f t="shared" si="23"/>
        <v>0.36</v>
      </c>
      <c r="K173" s="249">
        <f t="shared" si="23"/>
        <v>1</v>
      </c>
      <c r="L173" s="249">
        <f t="shared" si="23"/>
        <v>1</v>
      </c>
      <c r="M173" s="249">
        <f t="shared" si="23"/>
        <v>0</v>
      </c>
      <c r="N173" s="250"/>
    </row>
    <row r="174" spans="1:14" s="256" customFormat="1" hidden="1" outlineLevel="2">
      <c r="A174" s="178"/>
      <c r="B174" s="252" t="s">
        <v>189</v>
      </c>
      <c r="C174" s="253" t="s">
        <v>169</v>
      </c>
      <c r="D174" s="173">
        <v>1</v>
      </c>
      <c r="E174" s="252">
        <v>20.399999999999999</v>
      </c>
      <c r="F174" s="252"/>
      <c r="G174" s="254">
        <f t="shared" ref="G174:M198" si="24">IF($C174=G$5,PRODUCT($D174:$F174),"-")</f>
        <v>20.399999999999999</v>
      </c>
      <c r="H174" s="254" t="str">
        <f t="shared" si="24"/>
        <v>-</v>
      </c>
      <c r="I174" s="254" t="str">
        <f t="shared" si="24"/>
        <v>-</v>
      </c>
      <c r="J174" s="254" t="str">
        <f t="shared" si="24"/>
        <v>-</v>
      </c>
      <c r="K174" s="254" t="str">
        <f t="shared" si="24"/>
        <v>-</v>
      </c>
      <c r="L174" s="254" t="str">
        <f t="shared" si="24"/>
        <v>-</v>
      </c>
      <c r="M174" s="254" t="str">
        <f t="shared" si="24"/>
        <v>-</v>
      </c>
      <c r="N174" s="255"/>
    </row>
    <row r="175" spans="1:14" s="256" customFormat="1" hidden="1" outlineLevel="2">
      <c r="A175" s="178"/>
      <c r="B175" s="252" t="s">
        <v>190</v>
      </c>
      <c r="C175" s="253" t="s">
        <v>170</v>
      </c>
      <c r="D175" s="173">
        <v>1</v>
      </c>
      <c r="E175" s="252">
        <v>19.8</v>
      </c>
      <c r="F175" s="252"/>
      <c r="G175" s="254" t="str">
        <f t="shared" si="24"/>
        <v>-</v>
      </c>
      <c r="H175" s="254" t="str">
        <f t="shared" si="24"/>
        <v>-</v>
      </c>
      <c r="I175" s="254" t="str">
        <f t="shared" si="24"/>
        <v>-</v>
      </c>
      <c r="J175" s="254" t="str">
        <f t="shared" si="24"/>
        <v>-</v>
      </c>
      <c r="K175" s="254" t="str">
        <f t="shared" si="24"/>
        <v>-</v>
      </c>
      <c r="L175" s="254" t="str">
        <f t="shared" si="24"/>
        <v>-</v>
      </c>
      <c r="M175" s="254" t="str">
        <f t="shared" si="24"/>
        <v>-</v>
      </c>
      <c r="N175" s="255"/>
    </row>
    <row r="176" spans="1:14" s="256" customFormat="1" hidden="1" outlineLevel="2">
      <c r="A176" s="178"/>
      <c r="B176" s="257" t="s">
        <v>191</v>
      </c>
      <c r="C176" s="253" t="s">
        <v>170</v>
      </c>
      <c r="D176" s="173">
        <v>-1</v>
      </c>
      <c r="E176" s="252">
        <v>1.2</v>
      </c>
      <c r="F176" s="252"/>
      <c r="G176" s="254" t="str">
        <f t="shared" si="24"/>
        <v>-</v>
      </c>
      <c r="H176" s="254" t="str">
        <f t="shared" si="24"/>
        <v>-</v>
      </c>
      <c r="I176" s="254" t="str">
        <f t="shared" si="24"/>
        <v>-</v>
      </c>
      <c r="J176" s="254" t="str">
        <f t="shared" si="24"/>
        <v>-</v>
      </c>
      <c r="K176" s="254" t="str">
        <f t="shared" si="24"/>
        <v>-</v>
      </c>
      <c r="L176" s="254" t="str">
        <f t="shared" si="24"/>
        <v>-</v>
      </c>
      <c r="M176" s="254" t="str">
        <f t="shared" si="24"/>
        <v>-</v>
      </c>
      <c r="N176" s="255"/>
    </row>
    <row r="177" spans="1:14" s="256" customFormat="1" hidden="1" outlineLevel="2">
      <c r="A177" s="178"/>
      <c r="B177" s="257" t="s">
        <v>192</v>
      </c>
      <c r="C177" s="253" t="s">
        <v>170</v>
      </c>
      <c r="D177" s="173">
        <v>-1</v>
      </c>
      <c r="E177" s="252">
        <v>3.2</v>
      </c>
      <c r="F177" s="252"/>
      <c r="G177" s="254" t="str">
        <f t="shared" si="24"/>
        <v>-</v>
      </c>
      <c r="H177" s="254" t="str">
        <f t="shared" si="24"/>
        <v>-</v>
      </c>
      <c r="I177" s="254" t="str">
        <f t="shared" si="24"/>
        <v>-</v>
      </c>
      <c r="J177" s="254" t="str">
        <f t="shared" si="24"/>
        <v>-</v>
      </c>
      <c r="K177" s="254" t="str">
        <f t="shared" si="24"/>
        <v>-</v>
      </c>
      <c r="L177" s="254" t="str">
        <f t="shared" si="24"/>
        <v>-</v>
      </c>
      <c r="M177" s="254" t="str">
        <f t="shared" si="24"/>
        <v>-</v>
      </c>
      <c r="N177" s="255"/>
    </row>
    <row r="178" spans="1:14" s="256" customFormat="1" hidden="1" outlineLevel="2">
      <c r="A178" s="178"/>
      <c r="B178" s="252" t="s">
        <v>193</v>
      </c>
      <c r="C178" s="253" t="s">
        <v>171</v>
      </c>
      <c r="D178" s="173">
        <v>1</v>
      </c>
      <c r="E178" s="252">
        <v>5</v>
      </c>
      <c r="F178" s="252"/>
      <c r="G178" s="254" t="str">
        <f t="shared" si="24"/>
        <v>-</v>
      </c>
      <c r="H178" s="254">
        <f t="shared" si="24"/>
        <v>5</v>
      </c>
      <c r="I178" s="254" t="str">
        <f t="shared" si="24"/>
        <v>-</v>
      </c>
      <c r="J178" s="254" t="str">
        <f t="shared" si="24"/>
        <v>-</v>
      </c>
      <c r="K178" s="254" t="str">
        <f t="shared" si="24"/>
        <v>-</v>
      </c>
      <c r="L178" s="254" t="str">
        <f t="shared" si="24"/>
        <v>-</v>
      </c>
      <c r="M178" s="254" t="str">
        <f t="shared" si="24"/>
        <v>-</v>
      </c>
      <c r="N178" s="255"/>
    </row>
    <row r="179" spans="1:14" s="256" customFormat="1" hidden="1" outlineLevel="2">
      <c r="A179" s="178"/>
      <c r="B179" s="252" t="s">
        <v>194</v>
      </c>
      <c r="C179" s="253" t="s">
        <v>172</v>
      </c>
      <c r="D179" s="173">
        <v>1</v>
      </c>
      <c r="E179" s="252">
        <v>11</v>
      </c>
      <c r="F179" s="252"/>
      <c r="G179" s="254" t="str">
        <f t="shared" si="24"/>
        <v>-</v>
      </c>
      <c r="H179" s="254" t="str">
        <f t="shared" si="24"/>
        <v>-</v>
      </c>
      <c r="I179" s="254" t="str">
        <f t="shared" si="24"/>
        <v>-</v>
      </c>
      <c r="J179" s="254" t="str">
        <f t="shared" si="24"/>
        <v>-</v>
      </c>
      <c r="K179" s="254" t="str">
        <f t="shared" si="24"/>
        <v>-</v>
      </c>
      <c r="L179" s="254" t="str">
        <f t="shared" si="24"/>
        <v>-</v>
      </c>
      <c r="M179" s="254" t="str">
        <f t="shared" si="24"/>
        <v>-</v>
      </c>
      <c r="N179" s="255"/>
    </row>
    <row r="180" spans="1:14" s="256" customFormat="1" hidden="1" outlineLevel="2">
      <c r="A180" s="178"/>
      <c r="B180" s="257" t="s">
        <v>191</v>
      </c>
      <c r="C180" s="253" t="s">
        <v>172</v>
      </c>
      <c r="D180" s="173">
        <v>-1</v>
      </c>
      <c r="E180" s="252">
        <f>0.2+0.8*2</f>
        <v>1.8</v>
      </c>
      <c r="F180" s="252"/>
      <c r="G180" s="254" t="str">
        <f t="shared" si="24"/>
        <v>-</v>
      </c>
      <c r="H180" s="254" t="str">
        <f t="shared" si="24"/>
        <v>-</v>
      </c>
      <c r="I180" s="254" t="str">
        <f t="shared" si="24"/>
        <v>-</v>
      </c>
      <c r="J180" s="254" t="str">
        <f t="shared" si="24"/>
        <v>-</v>
      </c>
      <c r="K180" s="254" t="str">
        <f t="shared" si="24"/>
        <v>-</v>
      </c>
      <c r="L180" s="254" t="str">
        <f t="shared" si="24"/>
        <v>-</v>
      </c>
      <c r="M180" s="254" t="str">
        <f t="shared" si="24"/>
        <v>-</v>
      </c>
      <c r="N180" s="255"/>
    </row>
    <row r="181" spans="1:14" s="256" customFormat="1" hidden="1" outlineLevel="2">
      <c r="A181" s="178"/>
      <c r="B181" s="257" t="s">
        <v>195</v>
      </c>
      <c r="C181" s="253" t="s">
        <v>172</v>
      </c>
      <c r="D181" s="173">
        <v>-1</v>
      </c>
      <c r="E181" s="252">
        <v>2.5</v>
      </c>
      <c r="F181" s="252"/>
      <c r="G181" s="254" t="str">
        <f t="shared" si="24"/>
        <v>-</v>
      </c>
      <c r="H181" s="254" t="str">
        <f t="shared" si="24"/>
        <v>-</v>
      </c>
      <c r="I181" s="254" t="str">
        <f t="shared" si="24"/>
        <v>-</v>
      </c>
      <c r="J181" s="254" t="str">
        <f t="shared" si="24"/>
        <v>-</v>
      </c>
      <c r="K181" s="254" t="str">
        <f t="shared" si="24"/>
        <v>-</v>
      </c>
      <c r="L181" s="254" t="str">
        <f t="shared" si="24"/>
        <v>-</v>
      </c>
      <c r="M181" s="254" t="str">
        <f t="shared" si="24"/>
        <v>-</v>
      </c>
      <c r="N181" s="255"/>
    </row>
    <row r="182" spans="1:14" s="256" customFormat="1" hidden="1" outlineLevel="2">
      <c r="A182" s="178"/>
      <c r="B182" s="252" t="s">
        <v>196</v>
      </c>
      <c r="C182" s="253" t="s">
        <v>173</v>
      </c>
      <c r="D182" s="173">
        <v>1</v>
      </c>
      <c r="E182" s="252">
        <f>4.7-0.18*2</f>
        <v>4.34</v>
      </c>
      <c r="F182" s="252"/>
      <c r="G182" s="254" t="str">
        <f t="shared" si="24"/>
        <v>-</v>
      </c>
      <c r="H182" s="254" t="str">
        <f t="shared" si="24"/>
        <v>-</v>
      </c>
      <c r="I182" s="254">
        <f t="shared" si="24"/>
        <v>4.34</v>
      </c>
      <c r="J182" s="254" t="str">
        <f t="shared" si="24"/>
        <v>-</v>
      </c>
      <c r="K182" s="254" t="str">
        <f t="shared" si="24"/>
        <v>-</v>
      </c>
      <c r="L182" s="254" t="str">
        <f t="shared" si="24"/>
        <v>-</v>
      </c>
      <c r="M182" s="254" t="str">
        <f t="shared" si="24"/>
        <v>-</v>
      </c>
      <c r="N182" s="255"/>
    </row>
    <row r="183" spans="1:14" s="256" customFormat="1" hidden="1" outlineLevel="2">
      <c r="A183" s="178"/>
      <c r="B183" s="252" t="s">
        <v>197</v>
      </c>
      <c r="C183" s="253" t="s">
        <v>175</v>
      </c>
      <c r="D183" s="173">
        <v>1</v>
      </c>
      <c r="E183" s="252">
        <f>0.3*0.6*2</f>
        <v>0.36</v>
      </c>
      <c r="F183" s="252"/>
      <c r="G183" s="254" t="str">
        <f t="shared" si="24"/>
        <v>-</v>
      </c>
      <c r="H183" s="254" t="str">
        <f t="shared" si="24"/>
        <v>-</v>
      </c>
      <c r="I183" s="254" t="str">
        <f t="shared" si="24"/>
        <v>-</v>
      </c>
      <c r="J183" s="254">
        <f t="shared" si="24"/>
        <v>0.36</v>
      </c>
      <c r="K183" s="254" t="str">
        <f t="shared" si="24"/>
        <v>-</v>
      </c>
      <c r="L183" s="254" t="str">
        <f t="shared" si="24"/>
        <v>-</v>
      </c>
      <c r="M183" s="254" t="str">
        <f t="shared" si="24"/>
        <v>-</v>
      </c>
      <c r="N183" s="255"/>
    </row>
    <row r="184" spans="1:14" s="256" customFormat="1" hidden="1" outlineLevel="2">
      <c r="A184" s="178"/>
      <c r="B184" s="252" t="s">
        <v>198</v>
      </c>
      <c r="C184" s="253" t="s">
        <v>174</v>
      </c>
      <c r="D184" s="173">
        <v>1</v>
      </c>
      <c r="E184" s="252">
        <v>12.4</v>
      </c>
      <c r="F184" s="252">
        <v>2.2999999999999998</v>
      </c>
      <c r="G184" s="254" t="str">
        <f t="shared" si="24"/>
        <v>-</v>
      </c>
      <c r="H184" s="254" t="str">
        <f t="shared" si="24"/>
        <v>-</v>
      </c>
      <c r="I184" s="254" t="str">
        <f t="shared" si="24"/>
        <v>-</v>
      </c>
      <c r="J184" s="254" t="str">
        <f t="shared" si="24"/>
        <v>-</v>
      </c>
      <c r="K184" s="254" t="str">
        <f t="shared" si="24"/>
        <v>-</v>
      </c>
      <c r="L184" s="254" t="str">
        <f t="shared" si="24"/>
        <v>-</v>
      </c>
      <c r="M184" s="254" t="str">
        <f t="shared" si="24"/>
        <v>-</v>
      </c>
      <c r="N184" s="255"/>
    </row>
    <row r="185" spans="1:14" s="256" customFormat="1" hidden="1" outlineLevel="2">
      <c r="A185" s="178"/>
      <c r="B185" s="257" t="s">
        <v>212</v>
      </c>
      <c r="C185" s="253" t="s">
        <v>174</v>
      </c>
      <c r="D185" s="173">
        <v>-1</v>
      </c>
      <c r="E185" s="252">
        <v>0.8</v>
      </c>
      <c r="F185" s="252">
        <v>2.2200000000000002</v>
      </c>
      <c r="G185" s="254" t="str">
        <f t="shared" si="24"/>
        <v>-</v>
      </c>
      <c r="H185" s="254" t="str">
        <f t="shared" si="24"/>
        <v>-</v>
      </c>
      <c r="I185" s="254" t="str">
        <f t="shared" si="24"/>
        <v>-</v>
      </c>
      <c r="J185" s="254" t="str">
        <f t="shared" si="24"/>
        <v>-</v>
      </c>
      <c r="K185" s="254" t="str">
        <f t="shared" si="24"/>
        <v>-</v>
      </c>
      <c r="L185" s="254" t="str">
        <f t="shared" si="24"/>
        <v>-</v>
      </c>
      <c r="M185" s="254" t="str">
        <f t="shared" si="24"/>
        <v>-</v>
      </c>
      <c r="N185" s="255"/>
    </row>
    <row r="186" spans="1:14" s="256" customFormat="1" hidden="1" outlineLevel="2">
      <c r="A186" s="178"/>
      <c r="B186" s="257" t="s">
        <v>199</v>
      </c>
      <c r="C186" s="253" t="s">
        <v>174</v>
      </c>
      <c r="D186" s="173">
        <v>-1</v>
      </c>
      <c r="E186" s="252">
        <v>1.8</v>
      </c>
      <c r="F186" s="252">
        <v>1.75</v>
      </c>
      <c r="G186" s="254" t="str">
        <f t="shared" si="24"/>
        <v>-</v>
      </c>
      <c r="H186" s="254" t="str">
        <f t="shared" si="24"/>
        <v>-</v>
      </c>
      <c r="I186" s="254" t="str">
        <f t="shared" si="24"/>
        <v>-</v>
      </c>
      <c r="J186" s="254" t="str">
        <f t="shared" si="24"/>
        <v>-</v>
      </c>
      <c r="K186" s="254" t="str">
        <f t="shared" si="24"/>
        <v>-</v>
      </c>
      <c r="L186" s="254" t="str">
        <f t="shared" si="24"/>
        <v>-</v>
      </c>
      <c r="M186" s="254" t="str">
        <f t="shared" si="24"/>
        <v>-</v>
      </c>
      <c r="N186" s="255"/>
    </row>
    <row r="187" spans="1:14" s="256" customFormat="1" hidden="1" outlineLevel="2">
      <c r="A187" s="178"/>
      <c r="B187" s="257" t="s">
        <v>200</v>
      </c>
      <c r="C187" s="253" t="s">
        <v>174</v>
      </c>
      <c r="D187" s="173">
        <v>-2</v>
      </c>
      <c r="E187" s="252">
        <v>0.85</v>
      </c>
      <c r="F187" s="252">
        <v>0.55000000000000004</v>
      </c>
      <c r="G187" s="254" t="str">
        <f t="shared" si="24"/>
        <v>-</v>
      </c>
      <c r="H187" s="254" t="str">
        <f t="shared" si="24"/>
        <v>-</v>
      </c>
      <c r="I187" s="254" t="str">
        <f t="shared" si="24"/>
        <v>-</v>
      </c>
      <c r="J187" s="254" t="str">
        <f t="shared" si="24"/>
        <v>-</v>
      </c>
      <c r="K187" s="254" t="str">
        <f t="shared" si="24"/>
        <v>-</v>
      </c>
      <c r="L187" s="254" t="str">
        <f t="shared" si="24"/>
        <v>-</v>
      </c>
      <c r="M187" s="254" t="str">
        <f t="shared" si="24"/>
        <v>-</v>
      </c>
      <c r="N187" s="255"/>
    </row>
    <row r="188" spans="1:14" s="256" customFormat="1" hidden="1" outlineLevel="2">
      <c r="A188" s="178"/>
      <c r="B188" s="258" t="s">
        <v>201</v>
      </c>
      <c r="C188" s="253" t="s">
        <v>174</v>
      </c>
      <c r="D188" s="173">
        <v>1</v>
      </c>
      <c r="E188" s="252">
        <v>2.15</v>
      </c>
      <c r="F188" s="252">
        <v>0.25</v>
      </c>
      <c r="G188" s="254" t="str">
        <f t="shared" si="24"/>
        <v>-</v>
      </c>
      <c r="H188" s="254" t="str">
        <f t="shared" si="24"/>
        <v>-</v>
      </c>
      <c r="I188" s="254" t="str">
        <f t="shared" si="24"/>
        <v>-</v>
      </c>
      <c r="J188" s="254" t="str">
        <f t="shared" si="24"/>
        <v>-</v>
      </c>
      <c r="K188" s="254" t="str">
        <f t="shared" si="24"/>
        <v>-</v>
      </c>
      <c r="L188" s="254" t="str">
        <f t="shared" si="24"/>
        <v>-</v>
      </c>
      <c r="M188" s="254" t="str">
        <f t="shared" si="24"/>
        <v>-</v>
      </c>
      <c r="N188" s="255"/>
    </row>
    <row r="189" spans="1:14" s="256" customFormat="1" hidden="1" outlineLevel="2">
      <c r="A189" s="178"/>
      <c r="B189" s="252" t="s">
        <v>202</v>
      </c>
      <c r="C189" s="253" t="s">
        <v>176</v>
      </c>
      <c r="D189" s="173">
        <v>1</v>
      </c>
      <c r="E189" s="252">
        <v>2.15</v>
      </c>
      <c r="F189" s="252">
        <v>0.9</v>
      </c>
      <c r="G189" s="254" t="str">
        <f t="shared" si="24"/>
        <v>-</v>
      </c>
      <c r="H189" s="254" t="str">
        <f t="shared" si="24"/>
        <v>-</v>
      </c>
      <c r="I189" s="254" t="str">
        <f t="shared" si="24"/>
        <v>-</v>
      </c>
      <c r="J189" s="254" t="str">
        <f t="shared" si="24"/>
        <v>-</v>
      </c>
      <c r="K189" s="254" t="str">
        <f t="shared" si="24"/>
        <v>-</v>
      </c>
      <c r="L189" s="254" t="str">
        <f t="shared" si="24"/>
        <v>-</v>
      </c>
      <c r="M189" s="254" t="str">
        <f t="shared" si="24"/>
        <v>-</v>
      </c>
      <c r="N189" s="255"/>
    </row>
    <row r="190" spans="1:14" s="256" customFormat="1" hidden="1" outlineLevel="2">
      <c r="A190" s="178"/>
      <c r="B190" s="257" t="s">
        <v>203</v>
      </c>
      <c r="C190" s="253" t="s">
        <v>176</v>
      </c>
      <c r="D190" s="173">
        <v>-1</v>
      </c>
      <c r="E190" s="252">
        <v>1.65</v>
      </c>
      <c r="F190" s="252">
        <v>0.7</v>
      </c>
      <c r="G190" s="254" t="str">
        <f t="shared" si="24"/>
        <v>-</v>
      </c>
      <c r="H190" s="254" t="str">
        <f t="shared" si="24"/>
        <v>-</v>
      </c>
      <c r="I190" s="254" t="str">
        <f t="shared" si="24"/>
        <v>-</v>
      </c>
      <c r="J190" s="254" t="str">
        <f t="shared" si="24"/>
        <v>-</v>
      </c>
      <c r="K190" s="254" t="str">
        <f t="shared" si="24"/>
        <v>-</v>
      </c>
      <c r="L190" s="254" t="str">
        <f t="shared" si="24"/>
        <v>-</v>
      </c>
      <c r="M190" s="254" t="str">
        <f t="shared" si="24"/>
        <v>-</v>
      </c>
      <c r="N190" s="255"/>
    </row>
    <row r="191" spans="1:14" s="256" customFormat="1" hidden="1" outlineLevel="2">
      <c r="A191" s="178"/>
      <c r="B191" s="252" t="s">
        <v>204</v>
      </c>
      <c r="C191" s="253" t="s">
        <v>177</v>
      </c>
      <c r="D191" s="173">
        <v>1</v>
      </c>
      <c r="E191" s="252"/>
      <c r="F191" s="252"/>
      <c r="G191" s="254" t="str">
        <f t="shared" si="24"/>
        <v>-</v>
      </c>
      <c r="H191" s="254" t="str">
        <f t="shared" si="24"/>
        <v>-</v>
      </c>
      <c r="I191" s="254" t="str">
        <f t="shared" si="24"/>
        <v>-</v>
      </c>
      <c r="J191" s="254" t="str">
        <f t="shared" si="24"/>
        <v>-</v>
      </c>
      <c r="K191" s="254">
        <f t="shared" si="24"/>
        <v>1</v>
      </c>
      <c r="L191" s="254" t="str">
        <f t="shared" si="24"/>
        <v>-</v>
      </c>
      <c r="M191" s="254" t="str">
        <f t="shared" si="24"/>
        <v>-</v>
      </c>
      <c r="N191" s="255"/>
    </row>
    <row r="192" spans="1:14" s="256" customFormat="1" hidden="1" outlineLevel="2">
      <c r="A192" s="178"/>
      <c r="B192" s="252" t="s">
        <v>205</v>
      </c>
      <c r="C192" s="253" t="s">
        <v>178</v>
      </c>
      <c r="D192" s="173">
        <v>1</v>
      </c>
      <c r="E192" s="252"/>
      <c r="F192" s="252"/>
      <c r="G192" s="254" t="str">
        <f t="shared" si="24"/>
        <v>-</v>
      </c>
      <c r="H192" s="254" t="str">
        <f t="shared" si="24"/>
        <v>-</v>
      </c>
      <c r="I192" s="254" t="str">
        <f t="shared" si="24"/>
        <v>-</v>
      </c>
      <c r="J192" s="254" t="str">
        <f t="shared" si="24"/>
        <v>-</v>
      </c>
      <c r="K192" s="254" t="str">
        <f t="shared" si="24"/>
        <v>-</v>
      </c>
      <c r="L192" s="254">
        <f t="shared" si="24"/>
        <v>1</v>
      </c>
      <c r="M192" s="254" t="str">
        <f t="shared" si="24"/>
        <v>-</v>
      </c>
      <c r="N192" s="255"/>
    </row>
    <row r="193" spans="1:14" s="256" customFormat="1" hidden="1" outlineLevel="2">
      <c r="A193" s="259"/>
      <c r="B193" s="252"/>
      <c r="C193" s="253"/>
      <c r="D193" s="173"/>
      <c r="E193" s="252"/>
      <c r="F193" s="252"/>
      <c r="G193" s="254" t="str">
        <f t="shared" si="24"/>
        <v>-</v>
      </c>
      <c r="H193" s="254" t="str">
        <f t="shared" si="24"/>
        <v>-</v>
      </c>
      <c r="I193" s="254" t="str">
        <f t="shared" si="24"/>
        <v>-</v>
      </c>
      <c r="J193" s="254" t="str">
        <f t="shared" si="24"/>
        <v>-</v>
      </c>
      <c r="K193" s="254" t="str">
        <f t="shared" si="24"/>
        <v>-</v>
      </c>
      <c r="L193" s="254" t="str">
        <f t="shared" si="24"/>
        <v>-</v>
      </c>
      <c r="M193" s="254" t="str">
        <f t="shared" si="24"/>
        <v>-</v>
      </c>
      <c r="N193" s="255"/>
    </row>
    <row r="194" spans="1:14" s="251" customFormat="1" ht="15" hidden="1" outlineLevel="1" collapsed="1">
      <c r="A194" s="245"/>
      <c r="B194" s="246" t="s">
        <v>220</v>
      </c>
      <c r="C194" s="245"/>
      <c r="D194" s="247">
        <v>1</v>
      </c>
      <c r="E194" s="248"/>
      <c r="F194" s="248"/>
      <c r="G194" s="249">
        <f>SUBTOTAL(9,G195:G216)</f>
        <v>51.6</v>
      </c>
      <c r="H194" s="249">
        <f t="shared" ref="H194:M194" si="25">SUBTOTAL(9,H195:H216)</f>
        <v>7.4</v>
      </c>
      <c r="I194" s="249">
        <f t="shared" si="25"/>
        <v>18.14</v>
      </c>
      <c r="J194" s="249">
        <f t="shared" si="25"/>
        <v>0.36</v>
      </c>
      <c r="K194" s="249">
        <f t="shared" si="25"/>
        <v>1</v>
      </c>
      <c r="L194" s="249">
        <f t="shared" si="25"/>
        <v>3</v>
      </c>
      <c r="M194" s="249">
        <f t="shared" si="25"/>
        <v>1</v>
      </c>
      <c r="N194" s="250"/>
    </row>
    <row r="195" spans="1:14" s="256" customFormat="1" hidden="1" outlineLevel="2">
      <c r="A195" s="178"/>
      <c r="B195" s="252" t="s">
        <v>189</v>
      </c>
      <c r="C195" s="253" t="s">
        <v>169</v>
      </c>
      <c r="D195" s="173">
        <v>1</v>
      </c>
      <c r="E195" s="252">
        <f>27.8+23.8</f>
        <v>51.6</v>
      </c>
      <c r="F195" s="252"/>
      <c r="G195" s="254">
        <f t="shared" si="24"/>
        <v>51.6</v>
      </c>
      <c r="H195" s="254" t="str">
        <f t="shared" si="24"/>
        <v>-</v>
      </c>
      <c r="I195" s="254" t="str">
        <f t="shared" si="24"/>
        <v>-</v>
      </c>
      <c r="J195" s="254" t="str">
        <f t="shared" si="24"/>
        <v>-</v>
      </c>
      <c r="K195" s="254" t="str">
        <f t="shared" si="24"/>
        <v>-</v>
      </c>
      <c r="L195" s="254" t="str">
        <f t="shared" si="24"/>
        <v>-</v>
      </c>
      <c r="M195" s="254" t="str">
        <f t="shared" si="24"/>
        <v>-</v>
      </c>
      <c r="N195" s="255"/>
    </row>
    <row r="196" spans="1:14" s="256" customFormat="1" hidden="1" outlineLevel="2">
      <c r="A196" s="178"/>
      <c r="B196" s="252" t="s">
        <v>190</v>
      </c>
      <c r="C196" s="253" t="s">
        <v>170</v>
      </c>
      <c r="D196" s="173">
        <v>1</v>
      </c>
      <c r="E196" s="252">
        <f>28.1+22.5</f>
        <v>50.6</v>
      </c>
      <c r="F196" s="252"/>
      <c r="G196" s="254" t="str">
        <f t="shared" si="24"/>
        <v>-</v>
      </c>
      <c r="H196" s="254" t="str">
        <f t="shared" si="24"/>
        <v>-</v>
      </c>
      <c r="I196" s="254" t="str">
        <f t="shared" si="24"/>
        <v>-</v>
      </c>
      <c r="J196" s="254" t="str">
        <f t="shared" si="24"/>
        <v>-</v>
      </c>
      <c r="K196" s="254" t="str">
        <f t="shared" si="24"/>
        <v>-</v>
      </c>
      <c r="L196" s="254" t="str">
        <f t="shared" si="24"/>
        <v>-</v>
      </c>
      <c r="M196" s="254" t="str">
        <f t="shared" si="24"/>
        <v>-</v>
      </c>
      <c r="N196" s="255"/>
    </row>
    <row r="197" spans="1:14" s="256" customFormat="1" hidden="1" outlineLevel="2">
      <c r="A197" s="178"/>
      <c r="B197" s="257" t="s">
        <v>191</v>
      </c>
      <c r="C197" s="253" t="s">
        <v>170</v>
      </c>
      <c r="D197" s="173">
        <v>-3</v>
      </c>
      <c r="E197" s="252">
        <v>0.8</v>
      </c>
      <c r="F197" s="252"/>
      <c r="G197" s="254" t="str">
        <f t="shared" si="24"/>
        <v>-</v>
      </c>
      <c r="H197" s="254" t="str">
        <f t="shared" si="24"/>
        <v>-</v>
      </c>
      <c r="I197" s="254" t="str">
        <f t="shared" si="24"/>
        <v>-</v>
      </c>
      <c r="J197" s="254" t="str">
        <f t="shared" si="24"/>
        <v>-</v>
      </c>
      <c r="K197" s="254" t="str">
        <f t="shared" si="24"/>
        <v>-</v>
      </c>
      <c r="L197" s="254" t="str">
        <f t="shared" si="24"/>
        <v>-</v>
      </c>
      <c r="M197" s="254" t="str">
        <f t="shared" si="24"/>
        <v>-</v>
      </c>
      <c r="N197" s="255"/>
    </row>
    <row r="198" spans="1:14" s="256" customFormat="1" hidden="1" outlineLevel="2">
      <c r="A198" s="178"/>
      <c r="B198" s="257" t="s">
        <v>191</v>
      </c>
      <c r="C198" s="253" t="s">
        <v>170</v>
      </c>
      <c r="D198" s="173">
        <v>-1</v>
      </c>
      <c r="E198" s="252">
        <v>1.25</v>
      </c>
      <c r="F198" s="252"/>
      <c r="G198" s="254" t="str">
        <f t="shared" si="24"/>
        <v>-</v>
      </c>
      <c r="H198" s="254" t="str">
        <f t="shared" ref="G198:M213" si="26">IF($C198=H$5,PRODUCT($D198:$F198),"-")</f>
        <v>-</v>
      </c>
      <c r="I198" s="254" t="str">
        <f t="shared" si="26"/>
        <v>-</v>
      </c>
      <c r="J198" s="254" t="str">
        <f t="shared" si="26"/>
        <v>-</v>
      </c>
      <c r="K198" s="254" t="str">
        <f t="shared" si="26"/>
        <v>-</v>
      </c>
      <c r="L198" s="254" t="str">
        <f t="shared" si="26"/>
        <v>-</v>
      </c>
      <c r="M198" s="254" t="str">
        <f t="shared" si="26"/>
        <v>-</v>
      </c>
      <c r="N198" s="255"/>
    </row>
    <row r="199" spans="1:14" s="256" customFormat="1" hidden="1" outlineLevel="2">
      <c r="A199" s="178"/>
      <c r="B199" s="257" t="s">
        <v>195</v>
      </c>
      <c r="C199" s="253" t="s">
        <v>170</v>
      </c>
      <c r="D199" s="173">
        <v>-1</v>
      </c>
      <c r="E199" s="252">
        <v>1.4</v>
      </c>
      <c r="F199" s="252"/>
      <c r="G199" s="254" t="str">
        <f t="shared" si="26"/>
        <v>-</v>
      </c>
      <c r="H199" s="254" t="str">
        <f t="shared" si="26"/>
        <v>-</v>
      </c>
      <c r="I199" s="254" t="str">
        <f t="shared" si="26"/>
        <v>-</v>
      </c>
      <c r="J199" s="254" t="str">
        <f t="shared" si="26"/>
        <v>-</v>
      </c>
      <c r="K199" s="254" t="str">
        <f t="shared" si="26"/>
        <v>-</v>
      </c>
      <c r="L199" s="254" t="str">
        <f t="shared" si="26"/>
        <v>-</v>
      </c>
      <c r="M199" s="254" t="str">
        <f t="shared" si="26"/>
        <v>-</v>
      </c>
      <c r="N199" s="255"/>
    </row>
    <row r="200" spans="1:14" s="256" customFormat="1" hidden="1" outlineLevel="2">
      <c r="A200" s="178"/>
      <c r="B200" s="257" t="s">
        <v>192</v>
      </c>
      <c r="C200" s="253" t="s">
        <v>170</v>
      </c>
      <c r="D200" s="173">
        <v>-1</v>
      </c>
      <c r="E200" s="252">
        <v>2.8</v>
      </c>
      <c r="F200" s="252"/>
      <c r="G200" s="254" t="str">
        <f t="shared" si="26"/>
        <v>-</v>
      </c>
      <c r="H200" s="254" t="str">
        <f t="shared" si="26"/>
        <v>-</v>
      </c>
      <c r="I200" s="254" t="str">
        <f t="shared" si="26"/>
        <v>-</v>
      </c>
      <c r="J200" s="254" t="str">
        <f t="shared" si="26"/>
        <v>-</v>
      </c>
      <c r="K200" s="254" t="str">
        <f t="shared" si="26"/>
        <v>-</v>
      </c>
      <c r="L200" s="254" t="str">
        <f t="shared" si="26"/>
        <v>-</v>
      </c>
      <c r="M200" s="254" t="str">
        <f t="shared" si="26"/>
        <v>-</v>
      </c>
      <c r="N200" s="255"/>
    </row>
    <row r="201" spans="1:14" s="256" customFormat="1" hidden="1" outlineLevel="2">
      <c r="A201" s="178"/>
      <c r="B201" s="252" t="s">
        <v>193</v>
      </c>
      <c r="C201" s="253" t="s">
        <v>171</v>
      </c>
      <c r="D201" s="173">
        <v>1</v>
      </c>
      <c r="E201" s="252">
        <v>7.4</v>
      </c>
      <c r="F201" s="252"/>
      <c r="G201" s="254" t="str">
        <f t="shared" si="26"/>
        <v>-</v>
      </c>
      <c r="H201" s="254">
        <f t="shared" si="26"/>
        <v>7.4</v>
      </c>
      <c r="I201" s="254" t="str">
        <f t="shared" si="26"/>
        <v>-</v>
      </c>
      <c r="J201" s="254" t="str">
        <f t="shared" si="26"/>
        <v>-</v>
      </c>
      <c r="K201" s="254" t="str">
        <f t="shared" si="26"/>
        <v>-</v>
      </c>
      <c r="L201" s="254" t="str">
        <f t="shared" si="26"/>
        <v>-</v>
      </c>
      <c r="M201" s="254" t="str">
        <f t="shared" si="26"/>
        <v>-</v>
      </c>
      <c r="N201" s="255"/>
    </row>
    <row r="202" spans="1:14" s="256" customFormat="1" hidden="1" outlineLevel="2">
      <c r="A202" s="178"/>
      <c r="B202" s="252" t="s">
        <v>194</v>
      </c>
      <c r="C202" s="253" t="s">
        <v>172</v>
      </c>
      <c r="D202" s="173">
        <v>1</v>
      </c>
      <c r="E202" s="252">
        <v>12.6</v>
      </c>
      <c r="F202" s="252"/>
      <c r="G202" s="254" t="str">
        <f t="shared" si="26"/>
        <v>-</v>
      </c>
      <c r="H202" s="254" t="str">
        <f t="shared" si="26"/>
        <v>-</v>
      </c>
      <c r="I202" s="254" t="str">
        <f t="shared" si="26"/>
        <v>-</v>
      </c>
      <c r="J202" s="254" t="str">
        <f t="shared" si="26"/>
        <v>-</v>
      </c>
      <c r="K202" s="254" t="str">
        <f t="shared" si="26"/>
        <v>-</v>
      </c>
      <c r="L202" s="254" t="str">
        <f t="shared" si="26"/>
        <v>-</v>
      </c>
      <c r="M202" s="254" t="str">
        <f t="shared" si="26"/>
        <v>-</v>
      </c>
      <c r="N202" s="255"/>
    </row>
    <row r="203" spans="1:14" s="256" customFormat="1" hidden="1" outlineLevel="2">
      <c r="A203" s="178"/>
      <c r="B203" s="257" t="s">
        <v>191</v>
      </c>
      <c r="C203" s="253" t="s">
        <v>172</v>
      </c>
      <c r="D203" s="173">
        <v>-2</v>
      </c>
      <c r="E203" s="252">
        <v>0.8</v>
      </c>
      <c r="F203" s="252"/>
      <c r="G203" s="254" t="str">
        <f t="shared" si="26"/>
        <v>-</v>
      </c>
      <c r="H203" s="254" t="str">
        <f t="shared" si="26"/>
        <v>-</v>
      </c>
      <c r="I203" s="254" t="str">
        <f t="shared" si="26"/>
        <v>-</v>
      </c>
      <c r="J203" s="254" t="str">
        <f t="shared" si="26"/>
        <v>-</v>
      </c>
      <c r="K203" s="254" t="str">
        <f t="shared" si="26"/>
        <v>-</v>
      </c>
      <c r="L203" s="254" t="str">
        <f t="shared" si="26"/>
        <v>-</v>
      </c>
      <c r="M203" s="254" t="str">
        <f t="shared" si="26"/>
        <v>-</v>
      </c>
      <c r="N203" s="255"/>
    </row>
    <row r="204" spans="1:14" s="256" customFormat="1" hidden="1" outlineLevel="2">
      <c r="A204" s="178"/>
      <c r="B204" s="252" t="s">
        <v>196</v>
      </c>
      <c r="C204" s="253" t="s">
        <v>173</v>
      </c>
      <c r="D204" s="173">
        <v>1</v>
      </c>
      <c r="E204" s="252">
        <f>10.7+4.8+3-0.18*2</f>
        <v>18.14</v>
      </c>
      <c r="F204" s="252"/>
      <c r="G204" s="254" t="str">
        <f t="shared" si="26"/>
        <v>-</v>
      </c>
      <c r="H204" s="254" t="str">
        <f t="shared" si="26"/>
        <v>-</v>
      </c>
      <c r="I204" s="254">
        <f t="shared" si="26"/>
        <v>18.14</v>
      </c>
      <c r="J204" s="254" t="str">
        <f t="shared" si="26"/>
        <v>-</v>
      </c>
      <c r="K204" s="254" t="str">
        <f t="shared" si="26"/>
        <v>-</v>
      </c>
      <c r="L204" s="254" t="str">
        <f t="shared" si="26"/>
        <v>-</v>
      </c>
      <c r="M204" s="254" t="str">
        <f t="shared" si="26"/>
        <v>-</v>
      </c>
      <c r="N204" s="255"/>
    </row>
    <row r="205" spans="1:14" s="256" customFormat="1" hidden="1" outlineLevel="2">
      <c r="A205" s="178"/>
      <c r="B205" s="252" t="s">
        <v>197</v>
      </c>
      <c r="C205" s="253" t="s">
        <v>175</v>
      </c>
      <c r="D205" s="173">
        <v>1</v>
      </c>
      <c r="E205" s="252">
        <f>0.3*0.6*2</f>
        <v>0.36</v>
      </c>
      <c r="F205" s="252"/>
      <c r="G205" s="254" t="str">
        <f t="shared" si="26"/>
        <v>-</v>
      </c>
      <c r="H205" s="254" t="str">
        <f t="shared" si="26"/>
        <v>-</v>
      </c>
      <c r="I205" s="254" t="str">
        <f t="shared" si="26"/>
        <v>-</v>
      </c>
      <c r="J205" s="254">
        <f t="shared" si="26"/>
        <v>0.36</v>
      </c>
      <c r="K205" s="254" t="str">
        <f t="shared" si="26"/>
        <v>-</v>
      </c>
      <c r="L205" s="254" t="str">
        <f t="shared" si="26"/>
        <v>-</v>
      </c>
      <c r="M205" s="254" t="str">
        <f t="shared" si="26"/>
        <v>-</v>
      </c>
      <c r="N205" s="255"/>
    </row>
    <row r="206" spans="1:14" s="256" customFormat="1" hidden="1" outlineLevel="2">
      <c r="A206" s="178"/>
      <c r="B206" s="252" t="s">
        <v>198</v>
      </c>
      <c r="C206" s="253" t="s">
        <v>174</v>
      </c>
      <c r="D206" s="173">
        <v>1</v>
      </c>
      <c r="E206" s="252">
        <v>20.2</v>
      </c>
      <c r="F206" s="252">
        <v>2.2999999999999998</v>
      </c>
      <c r="G206" s="254" t="str">
        <f t="shared" si="26"/>
        <v>-</v>
      </c>
      <c r="H206" s="254" t="str">
        <f t="shared" si="26"/>
        <v>-</v>
      </c>
      <c r="I206" s="254" t="str">
        <f t="shared" si="26"/>
        <v>-</v>
      </c>
      <c r="J206" s="254" t="str">
        <f t="shared" si="26"/>
        <v>-</v>
      </c>
      <c r="K206" s="254" t="str">
        <f t="shared" si="26"/>
        <v>-</v>
      </c>
      <c r="L206" s="254" t="str">
        <f t="shared" si="26"/>
        <v>-</v>
      </c>
      <c r="M206" s="254" t="str">
        <f t="shared" si="26"/>
        <v>-</v>
      </c>
      <c r="N206" s="255"/>
    </row>
    <row r="207" spans="1:14" s="256" customFormat="1" hidden="1" outlineLevel="2">
      <c r="A207" s="178"/>
      <c r="B207" s="257" t="s">
        <v>212</v>
      </c>
      <c r="C207" s="253" t="s">
        <v>174</v>
      </c>
      <c r="D207" s="173">
        <v>-1</v>
      </c>
      <c r="E207" s="252">
        <v>0.8</v>
      </c>
      <c r="F207" s="252">
        <v>2.2200000000000002</v>
      </c>
      <c r="G207" s="254" t="str">
        <f t="shared" si="26"/>
        <v>-</v>
      </c>
      <c r="H207" s="254" t="str">
        <f t="shared" si="26"/>
        <v>-</v>
      </c>
      <c r="I207" s="254" t="str">
        <f t="shared" si="26"/>
        <v>-</v>
      </c>
      <c r="J207" s="254" t="str">
        <f t="shared" si="26"/>
        <v>-</v>
      </c>
      <c r="K207" s="254" t="str">
        <f t="shared" si="26"/>
        <v>-</v>
      </c>
      <c r="L207" s="254" t="str">
        <f t="shared" si="26"/>
        <v>-</v>
      </c>
      <c r="M207" s="254" t="str">
        <f t="shared" si="26"/>
        <v>-</v>
      </c>
      <c r="N207" s="255"/>
    </row>
    <row r="208" spans="1:14" s="256" customFormat="1" hidden="1" outlineLevel="2">
      <c r="A208" s="178"/>
      <c r="B208" s="257" t="s">
        <v>199</v>
      </c>
      <c r="C208" s="253" t="s">
        <v>174</v>
      </c>
      <c r="D208" s="173">
        <v>-1</v>
      </c>
      <c r="E208" s="252">
        <f>1.4+0.95</f>
        <v>2.3499999999999996</v>
      </c>
      <c r="F208" s="252">
        <v>1.45</v>
      </c>
      <c r="G208" s="254" t="str">
        <f t="shared" si="26"/>
        <v>-</v>
      </c>
      <c r="H208" s="254" t="str">
        <f t="shared" si="26"/>
        <v>-</v>
      </c>
      <c r="I208" s="254" t="str">
        <f t="shared" si="26"/>
        <v>-</v>
      </c>
      <c r="J208" s="254" t="str">
        <f t="shared" si="26"/>
        <v>-</v>
      </c>
      <c r="K208" s="254" t="str">
        <f t="shared" si="26"/>
        <v>-</v>
      </c>
      <c r="L208" s="254" t="str">
        <f t="shared" si="26"/>
        <v>-</v>
      </c>
      <c r="M208" s="254" t="str">
        <f t="shared" si="26"/>
        <v>-</v>
      </c>
      <c r="N208" s="255"/>
    </row>
    <row r="209" spans="1:14" s="256" customFormat="1" hidden="1" outlineLevel="2">
      <c r="A209" s="178"/>
      <c r="B209" s="257" t="s">
        <v>200</v>
      </c>
      <c r="C209" s="253" t="s">
        <v>174</v>
      </c>
      <c r="D209" s="173">
        <v>-1</v>
      </c>
      <c r="E209" s="252">
        <f>5.7-2</f>
        <v>3.7</v>
      </c>
      <c r="F209" s="252">
        <v>0.55000000000000004</v>
      </c>
      <c r="G209" s="254" t="str">
        <f t="shared" si="26"/>
        <v>-</v>
      </c>
      <c r="H209" s="254" t="str">
        <f t="shared" si="26"/>
        <v>-</v>
      </c>
      <c r="I209" s="254" t="str">
        <f t="shared" si="26"/>
        <v>-</v>
      </c>
      <c r="J209" s="254" t="str">
        <f t="shared" si="26"/>
        <v>-</v>
      </c>
      <c r="K209" s="254" t="str">
        <f t="shared" si="26"/>
        <v>-</v>
      </c>
      <c r="L209" s="254" t="str">
        <f t="shared" si="26"/>
        <v>-</v>
      </c>
      <c r="M209" s="254" t="str">
        <f t="shared" si="26"/>
        <v>-</v>
      </c>
      <c r="N209" s="255"/>
    </row>
    <row r="210" spans="1:14" s="256" customFormat="1" hidden="1" outlineLevel="2">
      <c r="A210" s="178"/>
      <c r="B210" s="258" t="s">
        <v>201</v>
      </c>
      <c r="C210" s="253" t="s">
        <v>174</v>
      </c>
      <c r="D210" s="173">
        <v>1</v>
      </c>
      <c r="E210" s="252">
        <f>1.35*2+2.5+0.5-0.95</f>
        <v>4.75</v>
      </c>
      <c r="F210" s="252">
        <v>0.25</v>
      </c>
      <c r="G210" s="254" t="str">
        <f t="shared" si="26"/>
        <v>-</v>
      </c>
      <c r="H210" s="254" t="str">
        <f t="shared" si="26"/>
        <v>-</v>
      </c>
      <c r="I210" s="254" t="str">
        <f t="shared" si="26"/>
        <v>-</v>
      </c>
      <c r="J210" s="254" t="str">
        <f t="shared" si="26"/>
        <v>-</v>
      </c>
      <c r="K210" s="254" t="str">
        <f t="shared" si="26"/>
        <v>-</v>
      </c>
      <c r="L210" s="254" t="str">
        <f t="shared" si="26"/>
        <v>-</v>
      </c>
      <c r="M210" s="254" t="str">
        <f t="shared" si="26"/>
        <v>-</v>
      </c>
      <c r="N210" s="255"/>
    </row>
    <row r="211" spans="1:14" s="256" customFormat="1" hidden="1" outlineLevel="2">
      <c r="A211" s="178"/>
      <c r="B211" s="252" t="s">
        <v>202</v>
      </c>
      <c r="C211" s="253" t="s">
        <v>176</v>
      </c>
      <c r="D211" s="173">
        <v>1</v>
      </c>
      <c r="E211" s="252">
        <v>2.5</v>
      </c>
      <c r="F211" s="252">
        <v>1.35</v>
      </c>
      <c r="G211" s="254" t="str">
        <f t="shared" si="26"/>
        <v>-</v>
      </c>
      <c r="H211" s="254" t="str">
        <f t="shared" si="26"/>
        <v>-</v>
      </c>
      <c r="I211" s="254" t="str">
        <f t="shared" si="26"/>
        <v>-</v>
      </c>
      <c r="J211" s="254" t="str">
        <f t="shared" si="26"/>
        <v>-</v>
      </c>
      <c r="K211" s="254" t="str">
        <f t="shared" si="26"/>
        <v>-</v>
      </c>
      <c r="L211" s="254" t="str">
        <f t="shared" si="26"/>
        <v>-</v>
      </c>
      <c r="M211" s="254" t="str">
        <f t="shared" si="26"/>
        <v>-</v>
      </c>
      <c r="N211" s="255"/>
    </row>
    <row r="212" spans="1:14" s="256" customFormat="1" hidden="1" outlineLevel="2">
      <c r="A212" s="178"/>
      <c r="B212" s="257" t="s">
        <v>203</v>
      </c>
      <c r="C212" s="253" t="s">
        <v>176</v>
      </c>
      <c r="D212" s="173">
        <v>-1</v>
      </c>
      <c r="E212" s="252">
        <v>1.9</v>
      </c>
      <c r="F212" s="252">
        <v>1.1000000000000001</v>
      </c>
      <c r="G212" s="254" t="str">
        <f t="shared" si="26"/>
        <v>-</v>
      </c>
      <c r="H212" s="254" t="str">
        <f t="shared" si="26"/>
        <v>-</v>
      </c>
      <c r="I212" s="254" t="str">
        <f t="shared" si="26"/>
        <v>-</v>
      </c>
      <c r="J212" s="254" t="str">
        <f t="shared" si="26"/>
        <v>-</v>
      </c>
      <c r="K212" s="254" t="str">
        <f t="shared" si="26"/>
        <v>-</v>
      </c>
      <c r="L212" s="254" t="str">
        <f t="shared" si="26"/>
        <v>-</v>
      </c>
      <c r="M212" s="254" t="str">
        <f t="shared" si="26"/>
        <v>-</v>
      </c>
      <c r="N212" s="255"/>
    </row>
    <row r="213" spans="1:14" s="256" customFormat="1" hidden="1" outlineLevel="2">
      <c r="A213" s="178"/>
      <c r="B213" s="252" t="s">
        <v>204</v>
      </c>
      <c r="C213" s="253" t="s">
        <v>177</v>
      </c>
      <c r="D213" s="173">
        <v>1</v>
      </c>
      <c r="E213" s="252"/>
      <c r="F213" s="252"/>
      <c r="G213" s="254" t="str">
        <f t="shared" si="26"/>
        <v>-</v>
      </c>
      <c r="H213" s="254" t="str">
        <f t="shared" si="26"/>
        <v>-</v>
      </c>
      <c r="I213" s="254" t="str">
        <f t="shared" si="26"/>
        <v>-</v>
      </c>
      <c r="J213" s="254" t="str">
        <f t="shared" si="26"/>
        <v>-</v>
      </c>
      <c r="K213" s="254">
        <f t="shared" si="26"/>
        <v>1</v>
      </c>
      <c r="L213" s="254" t="str">
        <f t="shared" si="26"/>
        <v>-</v>
      </c>
      <c r="M213" s="254" t="str">
        <f t="shared" si="26"/>
        <v>-</v>
      </c>
      <c r="N213" s="255"/>
    </row>
    <row r="214" spans="1:14" s="256" customFormat="1" hidden="1" outlineLevel="2">
      <c r="A214" s="178"/>
      <c r="B214" s="252" t="s">
        <v>208</v>
      </c>
      <c r="C214" s="253" t="s">
        <v>179</v>
      </c>
      <c r="D214" s="173">
        <v>1</v>
      </c>
      <c r="E214" s="252"/>
      <c r="F214" s="252"/>
      <c r="G214" s="254" t="str">
        <f t="shared" ref="G214:M216" si="27">IF($C214=G$5,PRODUCT($D214:$F214),"-")</f>
        <v>-</v>
      </c>
      <c r="H214" s="254" t="str">
        <f t="shared" si="27"/>
        <v>-</v>
      </c>
      <c r="I214" s="254" t="str">
        <f t="shared" si="27"/>
        <v>-</v>
      </c>
      <c r="J214" s="254" t="str">
        <f t="shared" si="27"/>
        <v>-</v>
      </c>
      <c r="K214" s="254" t="str">
        <f t="shared" si="27"/>
        <v>-</v>
      </c>
      <c r="L214" s="254" t="str">
        <f t="shared" si="27"/>
        <v>-</v>
      </c>
      <c r="M214" s="254">
        <f t="shared" si="27"/>
        <v>1</v>
      </c>
      <c r="N214" s="255"/>
    </row>
    <row r="215" spans="1:14" s="256" customFormat="1" hidden="1" outlineLevel="2">
      <c r="A215" s="178"/>
      <c r="B215" s="252" t="s">
        <v>205</v>
      </c>
      <c r="C215" s="253" t="s">
        <v>178</v>
      </c>
      <c r="D215" s="173">
        <v>3</v>
      </c>
      <c r="E215" s="252"/>
      <c r="F215" s="252"/>
      <c r="G215" s="254" t="str">
        <f t="shared" si="27"/>
        <v>-</v>
      </c>
      <c r="H215" s="254" t="str">
        <f t="shared" si="27"/>
        <v>-</v>
      </c>
      <c r="I215" s="254" t="str">
        <f t="shared" si="27"/>
        <v>-</v>
      </c>
      <c r="J215" s="254" t="str">
        <f t="shared" si="27"/>
        <v>-</v>
      </c>
      <c r="K215" s="254" t="str">
        <f t="shared" si="27"/>
        <v>-</v>
      </c>
      <c r="L215" s="254">
        <f t="shared" si="27"/>
        <v>3</v>
      </c>
      <c r="M215" s="254" t="str">
        <f t="shared" si="27"/>
        <v>-</v>
      </c>
      <c r="N215" s="255"/>
    </row>
    <row r="216" spans="1:14" s="256" customFormat="1" hidden="1" outlineLevel="2">
      <c r="A216" s="259"/>
      <c r="B216" s="252"/>
      <c r="C216" s="253"/>
      <c r="D216" s="173"/>
      <c r="E216" s="252"/>
      <c r="F216" s="252"/>
      <c r="G216" s="254" t="str">
        <f t="shared" si="27"/>
        <v>-</v>
      </c>
      <c r="H216" s="254" t="str">
        <f t="shared" si="27"/>
        <v>-</v>
      </c>
      <c r="I216" s="254" t="str">
        <f t="shared" si="27"/>
        <v>-</v>
      </c>
      <c r="J216" s="254" t="str">
        <f t="shared" si="27"/>
        <v>-</v>
      </c>
      <c r="K216" s="254" t="str">
        <f t="shared" si="27"/>
        <v>-</v>
      </c>
      <c r="L216" s="254" t="str">
        <f t="shared" si="27"/>
        <v>-</v>
      </c>
      <c r="M216" s="254" t="str">
        <f t="shared" si="27"/>
        <v>-</v>
      </c>
      <c r="N216" s="255"/>
    </row>
    <row r="217" spans="1:14" s="251" customFormat="1" ht="15" hidden="1" outlineLevel="1" collapsed="1">
      <c r="A217" s="245"/>
      <c r="B217" s="246" t="s">
        <v>221</v>
      </c>
      <c r="C217" s="245"/>
      <c r="D217" s="247">
        <v>1</v>
      </c>
      <c r="E217" s="248"/>
      <c r="F217" s="248"/>
      <c r="G217" s="249">
        <f>SUBTOTAL(9,G218:G237)</f>
        <v>71.3</v>
      </c>
      <c r="H217" s="249">
        <f t="shared" ref="H217:M217" si="28">SUBTOTAL(9,H218:H237)</f>
        <v>3.5</v>
      </c>
      <c r="I217" s="249">
        <f t="shared" si="28"/>
        <v>8</v>
      </c>
      <c r="J217" s="249">
        <f t="shared" si="28"/>
        <v>0</v>
      </c>
      <c r="K217" s="249">
        <f t="shared" si="28"/>
        <v>2</v>
      </c>
      <c r="L217" s="249">
        <f t="shared" si="28"/>
        <v>1</v>
      </c>
      <c r="M217" s="249">
        <f t="shared" si="28"/>
        <v>0</v>
      </c>
      <c r="N217" s="250"/>
    </row>
    <row r="218" spans="1:14" s="256" customFormat="1" hidden="1" outlineLevel="2">
      <c r="A218" s="178"/>
      <c r="B218" s="252" t="s">
        <v>189</v>
      </c>
      <c r="C218" s="253" t="s">
        <v>169</v>
      </c>
      <c r="D218" s="173">
        <v>1</v>
      </c>
      <c r="E218" s="252">
        <f>26.9+44.4</f>
        <v>71.3</v>
      </c>
      <c r="F218" s="252"/>
      <c r="G218" s="254">
        <f t="shared" ref="G218:M243" si="29">IF($C218=G$5,PRODUCT($D218:$F218),"-")</f>
        <v>71.3</v>
      </c>
      <c r="H218" s="254" t="str">
        <f t="shared" si="29"/>
        <v>-</v>
      </c>
      <c r="I218" s="254" t="str">
        <f t="shared" si="29"/>
        <v>-</v>
      </c>
      <c r="J218" s="254" t="str">
        <f t="shared" si="29"/>
        <v>-</v>
      </c>
      <c r="K218" s="254" t="str">
        <f t="shared" si="29"/>
        <v>-</v>
      </c>
      <c r="L218" s="254" t="str">
        <f t="shared" si="29"/>
        <v>-</v>
      </c>
      <c r="M218" s="254" t="str">
        <f t="shared" si="29"/>
        <v>-</v>
      </c>
      <c r="N218" s="255"/>
    </row>
    <row r="219" spans="1:14" s="256" customFormat="1" hidden="1" outlineLevel="2">
      <c r="A219" s="178"/>
      <c r="B219" s="252" t="s">
        <v>190</v>
      </c>
      <c r="C219" s="253" t="s">
        <v>170</v>
      </c>
      <c r="D219" s="173">
        <v>1</v>
      </c>
      <c r="E219" s="252">
        <f>22.3+28.6</f>
        <v>50.900000000000006</v>
      </c>
      <c r="F219" s="252"/>
      <c r="G219" s="254" t="str">
        <f t="shared" si="29"/>
        <v>-</v>
      </c>
      <c r="H219" s="254" t="str">
        <f t="shared" si="29"/>
        <v>-</v>
      </c>
      <c r="I219" s="254" t="str">
        <f t="shared" si="29"/>
        <v>-</v>
      </c>
      <c r="J219" s="254" t="str">
        <f t="shared" si="29"/>
        <v>-</v>
      </c>
      <c r="K219" s="254" t="str">
        <f t="shared" si="29"/>
        <v>-</v>
      </c>
      <c r="L219" s="254" t="str">
        <f t="shared" si="29"/>
        <v>-</v>
      </c>
      <c r="M219" s="254" t="str">
        <f t="shared" si="29"/>
        <v>-</v>
      </c>
      <c r="N219" s="255"/>
    </row>
    <row r="220" spans="1:14" s="256" customFormat="1" hidden="1" outlineLevel="2">
      <c r="A220" s="178"/>
      <c r="B220" s="257" t="s">
        <v>191</v>
      </c>
      <c r="C220" s="253" t="s">
        <v>170</v>
      </c>
      <c r="D220" s="173">
        <v>-5</v>
      </c>
      <c r="E220" s="252">
        <v>0.8</v>
      </c>
      <c r="F220" s="252"/>
      <c r="G220" s="254" t="str">
        <f t="shared" si="29"/>
        <v>-</v>
      </c>
      <c r="H220" s="254" t="str">
        <f t="shared" si="29"/>
        <v>-</v>
      </c>
      <c r="I220" s="254" t="str">
        <f t="shared" si="29"/>
        <v>-</v>
      </c>
      <c r="J220" s="254" t="str">
        <f t="shared" si="29"/>
        <v>-</v>
      </c>
      <c r="K220" s="254" t="str">
        <f t="shared" si="29"/>
        <v>-</v>
      </c>
      <c r="L220" s="254" t="str">
        <f t="shared" si="29"/>
        <v>-</v>
      </c>
      <c r="M220" s="254" t="str">
        <f t="shared" si="29"/>
        <v>-</v>
      </c>
      <c r="N220" s="255"/>
    </row>
    <row r="221" spans="1:14" s="256" customFormat="1" hidden="1" outlineLevel="2">
      <c r="A221" s="178"/>
      <c r="B221" s="257" t="s">
        <v>222</v>
      </c>
      <c r="C221" s="253" t="s">
        <v>170</v>
      </c>
      <c r="D221" s="173">
        <v>-1</v>
      </c>
      <c r="E221" s="252">
        <v>0.95</v>
      </c>
      <c r="F221" s="252"/>
      <c r="G221" s="254" t="str">
        <f t="shared" si="29"/>
        <v>-</v>
      </c>
      <c r="H221" s="254" t="str">
        <f t="shared" si="29"/>
        <v>-</v>
      </c>
      <c r="I221" s="254" t="str">
        <f t="shared" si="29"/>
        <v>-</v>
      </c>
      <c r="J221" s="254" t="str">
        <f t="shared" si="29"/>
        <v>-</v>
      </c>
      <c r="K221" s="254" t="str">
        <f t="shared" si="29"/>
        <v>-</v>
      </c>
      <c r="L221" s="254" t="str">
        <f t="shared" si="29"/>
        <v>-</v>
      </c>
      <c r="M221" s="254" t="str">
        <f t="shared" si="29"/>
        <v>-</v>
      </c>
      <c r="N221" s="255"/>
    </row>
    <row r="222" spans="1:14" s="256" customFormat="1" hidden="1" outlineLevel="2">
      <c r="A222" s="178"/>
      <c r="B222" s="257" t="s">
        <v>223</v>
      </c>
      <c r="C222" s="253" t="s">
        <v>170</v>
      </c>
      <c r="D222" s="173">
        <v>-1</v>
      </c>
      <c r="E222" s="252">
        <v>3</v>
      </c>
      <c r="F222" s="252"/>
      <c r="G222" s="254" t="str">
        <f t="shared" si="29"/>
        <v>-</v>
      </c>
      <c r="H222" s="254" t="str">
        <f t="shared" si="29"/>
        <v>-</v>
      </c>
      <c r="I222" s="254" t="str">
        <f t="shared" si="29"/>
        <v>-</v>
      </c>
      <c r="J222" s="254" t="str">
        <f t="shared" si="29"/>
        <v>-</v>
      </c>
      <c r="K222" s="254" t="str">
        <f t="shared" si="29"/>
        <v>-</v>
      </c>
      <c r="L222" s="254" t="str">
        <f t="shared" si="29"/>
        <v>-</v>
      </c>
      <c r="M222" s="254" t="str">
        <f t="shared" si="29"/>
        <v>-</v>
      </c>
      <c r="N222" s="255"/>
    </row>
    <row r="223" spans="1:14" s="256" customFormat="1" hidden="1" outlineLevel="2">
      <c r="A223" s="178"/>
      <c r="B223" s="257" t="s">
        <v>195</v>
      </c>
      <c r="C223" s="253" t="s">
        <v>170</v>
      </c>
      <c r="D223" s="173">
        <v>-1</v>
      </c>
      <c r="E223" s="252">
        <v>1.3</v>
      </c>
      <c r="F223" s="252"/>
      <c r="G223" s="254" t="str">
        <f t="shared" si="29"/>
        <v>-</v>
      </c>
      <c r="H223" s="254" t="str">
        <f t="shared" si="29"/>
        <v>-</v>
      </c>
      <c r="I223" s="254" t="str">
        <f t="shared" si="29"/>
        <v>-</v>
      </c>
      <c r="J223" s="254" t="str">
        <f t="shared" si="29"/>
        <v>-</v>
      </c>
      <c r="K223" s="254" t="str">
        <f t="shared" si="29"/>
        <v>-</v>
      </c>
      <c r="L223" s="254" t="str">
        <f t="shared" si="29"/>
        <v>-</v>
      </c>
      <c r="M223" s="254" t="str">
        <f t="shared" si="29"/>
        <v>-</v>
      </c>
      <c r="N223" s="255"/>
    </row>
    <row r="224" spans="1:14" s="256" customFormat="1" hidden="1" outlineLevel="2">
      <c r="A224" s="178"/>
      <c r="B224" s="257" t="s">
        <v>192</v>
      </c>
      <c r="C224" s="253" t="s">
        <v>170</v>
      </c>
      <c r="D224" s="173">
        <v>-1</v>
      </c>
      <c r="E224" s="252">
        <v>2.8</v>
      </c>
      <c r="F224" s="252"/>
      <c r="G224" s="254" t="str">
        <f t="shared" si="29"/>
        <v>-</v>
      </c>
      <c r="H224" s="254" t="str">
        <f t="shared" si="29"/>
        <v>-</v>
      </c>
      <c r="I224" s="254" t="str">
        <f t="shared" si="29"/>
        <v>-</v>
      </c>
      <c r="J224" s="254" t="str">
        <f t="shared" si="29"/>
        <v>-</v>
      </c>
      <c r="K224" s="254" t="str">
        <f t="shared" si="29"/>
        <v>-</v>
      </c>
      <c r="L224" s="254" t="str">
        <f t="shared" si="29"/>
        <v>-</v>
      </c>
      <c r="M224" s="254" t="str">
        <f t="shared" si="29"/>
        <v>-</v>
      </c>
      <c r="N224" s="255"/>
    </row>
    <row r="225" spans="1:14" s="256" customFormat="1" hidden="1" outlineLevel="2">
      <c r="A225" s="178"/>
      <c r="B225" s="252" t="s">
        <v>193</v>
      </c>
      <c r="C225" s="253" t="s">
        <v>171</v>
      </c>
      <c r="D225" s="173">
        <v>1</v>
      </c>
      <c r="E225" s="252">
        <v>3.5</v>
      </c>
      <c r="F225" s="252"/>
      <c r="G225" s="254" t="str">
        <f t="shared" si="29"/>
        <v>-</v>
      </c>
      <c r="H225" s="254">
        <f t="shared" si="29"/>
        <v>3.5</v>
      </c>
      <c r="I225" s="254" t="str">
        <f t="shared" si="29"/>
        <v>-</v>
      </c>
      <c r="J225" s="254" t="str">
        <f t="shared" si="29"/>
        <v>-</v>
      </c>
      <c r="K225" s="254" t="str">
        <f t="shared" si="29"/>
        <v>-</v>
      </c>
      <c r="L225" s="254" t="str">
        <f t="shared" si="29"/>
        <v>-</v>
      </c>
      <c r="M225" s="254" t="str">
        <f t="shared" si="29"/>
        <v>-</v>
      </c>
      <c r="N225" s="255"/>
    </row>
    <row r="226" spans="1:14" s="256" customFormat="1" hidden="1" outlineLevel="2">
      <c r="A226" s="178"/>
      <c r="B226" s="252" t="s">
        <v>194</v>
      </c>
      <c r="C226" s="253" t="s">
        <v>172</v>
      </c>
      <c r="D226" s="173">
        <v>1</v>
      </c>
      <c r="E226" s="252">
        <v>7.5</v>
      </c>
      <c r="F226" s="252"/>
      <c r="G226" s="254" t="str">
        <f t="shared" si="29"/>
        <v>-</v>
      </c>
      <c r="H226" s="254" t="str">
        <f t="shared" si="29"/>
        <v>-</v>
      </c>
      <c r="I226" s="254" t="str">
        <f t="shared" si="29"/>
        <v>-</v>
      </c>
      <c r="J226" s="254" t="str">
        <f t="shared" si="29"/>
        <v>-</v>
      </c>
      <c r="K226" s="254" t="str">
        <f t="shared" si="29"/>
        <v>-</v>
      </c>
      <c r="L226" s="254" t="str">
        <f t="shared" si="29"/>
        <v>-</v>
      </c>
      <c r="M226" s="254" t="str">
        <f t="shared" si="29"/>
        <v>-</v>
      </c>
      <c r="N226" s="255"/>
    </row>
    <row r="227" spans="1:14" s="256" customFormat="1" hidden="1" outlineLevel="2">
      <c r="A227" s="178"/>
      <c r="B227" s="257" t="s">
        <v>191</v>
      </c>
      <c r="C227" s="253" t="s">
        <v>172</v>
      </c>
      <c r="D227" s="173">
        <v>-1</v>
      </c>
      <c r="E227" s="252">
        <v>0.8</v>
      </c>
      <c r="F227" s="252"/>
      <c r="G227" s="254" t="str">
        <f t="shared" si="29"/>
        <v>-</v>
      </c>
      <c r="H227" s="254" t="str">
        <f t="shared" si="29"/>
        <v>-</v>
      </c>
      <c r="I227" s="254" t="str">
        <f t="shared" si="29"/>
        <v>-</v>
      </c>
      <c r="J227" s="254" t="str">
        <f t="shared" si="29"/>
        <v>-</v>
      </c>
      <c r="K227" s="254" t="str">
        <f t="shared" si="29"/>
        <v>-</v>
      </c>
      <c r="L227" s="254" t="str">
        <f t="shared" si="29"/>
        <v>-</v>
      </c>
      <c r="M227" s="254" t="str">
        <f t="shared" si="29"/>
        <v>-</v>
      </c>
      <c r="N227" s="255"/>
    </row>
    <row r="228" spans="1:14" s="256" customFormat="1" hidden="1" outlineLevel="2">
      <c r="A228" s="178"/>
      <c r="B228" s="252" t="s">
        <v>196</v>
      </c>
      <c r="C228" s="253" t="s">
        <v>173</v>
      </c>
      <c r="D228" s="173">
        <v>1</v>
      </c>
      <c r="E228" s="252">
        <v>8</v>
      </c>
      <c r="F228" s="252"/>
      <c r="G228" s="254" t="str">
        <f t="shared" si="29"/>
        <v>-</v>
      </c>
      <c r="H228" s="254" t="str">
        <f t="shared" si="29"/>
        <v>-</v>
      </c>
      <c r="I228" s="254">
        <f t="shared" si="29"/>
        <v>8</v>
      </c>
      <c r="J228" s="254" t="str">
        <f t="shared" si="29"/>
        <v>-</v>
      </c>
      <c r="K228" s="254" t="str">
        <f t="shared" si="29"/>
        <v>-</v>
      </c>
      <c r="L228" s="254" t="str">
        <f t="shared" si="29"/>
        <v>-</v>
      </c>
      <c r="M228" s="254" t="str">
        <f t="shared" si="29"/>
        <v>-</v>
      </c>
      <c r="N228" s="255"/>
    </row>
    <row r="229" spans="1:14" s="256" customFormat="1" hidden="1" outlineLevel="2">
      <c r="A229" s="178"/>
      <c r="B229" s="252" t="s">
        <v>198</v>
      </c>
      <c r="C229" s="253" t="s">
        <v>174</v>
      </c>
      <c r="D229" s="173">
        <v>1</v>
      </c>
      <c r="E229" s="252">
        <v>14.3</v>
      </c>
      <c r="F229" s="252">
        <v>2.2999999999999998</v>
      </c>
      <c r="G229" s="254" t="str">
        <f t="shared" si="29"/>
        <v>-</v>
      </c>
      <c r="H229" s="254" t="str">
        <f t="shared" si="29"/>
        <v>-</v>
      </c>
      <c r="I229" s="254" t="str">
        <f t="shared" si="29"/>
        <v>-</v>
      </c>
      <c r="J229" s="254" t="str">
        <f t="shared" si="29"/>
        <v>-</v>
      </c>
      <c r="K229" s="254" t="str">
        <f t="shared" si="29"/>
        <v>-</v>
      </c>
      <c r="L229" s="254" t="str">
        <f t="shared" si="29"/>
        <v>-</v>
      </c>
      <c r="M229" s="254" t="str">
        <f t="shared" si="29"/>
        <v>-</v>
      </c>
      <c r="N229" s="255"/>
    </row>
    <row r="230" spans="1:14" s="256" customFormat="1" hidden="1" outlineLevel="2">
      <c r="A230" s="178"/>
      <c r="B230" s="257" t="s">
        <v>199</v>
      </c>
      <c r="C230" s="253" t="s">
        <v>174</v>
      </c>
      <c r="D230" s="173">
        <v>-1</v>
      </c>
      <c r="E230" s="252">
        <v>1.5</v>
      </c>
      <c r="F230" s="252">
        <v>1.45</v>
      </c>
      <c r="G230" s="254" t="str">
        <f t="shared" si="29"/>
        <v>-</v>
      </c>
      <c r="H230" s="254" t="str">
        <f t="shared" si="29"/>
        <v>-</v>
      </c>
      <c r="I230" s="254" t="str">
        <f t="shared" si="29"/>
        <v>-</v>
      </c>
      <c r="J230" s="254" t="str">
        <f t="shared" si="29"/>
        <v>-</v>
      </c>
      <c r="K230" s="254" t="str">
        <f t="shared" si="29"/>
        <v>-</v>
      </c>
      <c r="L230" s="254" t="str">
        <f t="shared" si="29"/>
        <v>-</v>
      </c>
      <c r="M230" s="254" t="str">
        <f t="shared" si="29"/>
        <v>-</v>
      </c>
      <c r="N230" s="255"/>
    </row>
    <row r="231" spans="1:14" s="256" customFormat="1" hidden="1" outlineLevel="2">
      <c r="A231" s="178"/>
      <c r="B231" s="257" t="s">
        <v>200</v>
      </c>
      <c r="C231" s="253" t="s">
        <v>174</v>
      </c>
      <c r="D231" s="173">
        <v>-1</v>
      </c>
      <c r="E231" s="252">
        <f>5.04-1.8</f>
        <v>3.24</v>
      </c>
      <c r="F231" s="252">
        <v>0.55000000000000004</v>
      </c>
      <c r="G231" s="254" t="str">
        <f t="shared" si="29"/>
        <v>-</v>
      </c>
      <c r="H231" s="254" t="str">
        <f t="shared" si="29"/>
        <v>-</v>
      </c>
      <c r="I231" s="254" t="str">
        <f t="shared" si="29"/>
        <v>-</v>
      </c>
      <c r="J231" s="254" t="str">
        <f t="shared" si="29"/>
        <v>-</v>
      </c>
      <c r="K231" s="254" t="str">
        <f t="shared" si="29"/>
        <v>-</v>
      </c>
      <c r="L231" s="254" t="str">
        <f t="shared" si="29"/>
        <v>-</v>
      </c>
      <c r="M231" s="254" t="str">
        <f t="shared" si="29"/>
        <v>-</v>
      </c>
      <c r="N231" s="255"/>
    </row>
    <row r="232" spans="1:14" s="256" customFormat="1" hidden="1" outlineLevel="2">
      <c r="A232" s="178"/>
      <c r="B232" s="258" t="s">
        <v>201</v>
      </c>
      <c r="C232" s="253" t="s">
        <v>174</v>
      </c>
      <c r="D232" s="173">
        <v>1</v>
      </c>
      <c r="E232" s="252">
        <v>2.2999999999999998</v>
      </c>
      <c r="F232" s="252">
        <v>0.25</v>
      </c>
      <c r="G232" s="254" t="str">
        <f t="shared" si="29"/>
        <v>-</v>
      </c>
      <c r="H232" s="254" t="str">
        <f t="shared" si="29"/>
        <v>-</v>
      </c>
      <c r="I232" s="254" t="str">
        <f t="shared" si="29"/>
        <v>-</v>
      </c>
      <c r="J232" s="254" t="str">
        <f t="shared" si="29"/>
        <v>-</v>
      </c>
      <c r="K232" s="254" t="str">
        <f t="shared" si="29"/>
        <v>-</v>
      </c>
      <c r="L232" s="254" t="str">
        <f t="shared" si="29"/>
        <v>-</v>
      </c>
      <c r="M232" s="254" t="str">
        <f t="shared" si="29"/>
        <v>-</v>
      </c>
      <c r="N232" s="255"/>
    </row>
    <row r="233" spans="1:14" s="256" customFormat="1" hidden="1" outlineLevel="2">
      <c r="A233" s="178"/>
      <c r="B233" s="252" t="s">
        <v>202</v>
      </c>
      <c r="C233" s="253" t="s">
        <v>176</v>
      </c>
      <c r="D233" s="173">
        <v>1</v>
      </c>
      <c r="E233" s="252">
        <v>2.2999999999999998</v>
      </c>
      <c r="F233" s="252">
        <v>1.1200000000000001</v>
      </c>
      <c r="G233" s="254" t="str">
        <f t="shared" si="29"/>
        <v>-</v>
      </c>
      <c r="H233" s="254" t="str">
        <f t="shared" si="29"/>
        <v>-</v>
      </c>
      <c r="I233" s="254" t="str">
        <f t="shared" si="29"/>
        <v>-</v>
      </c>
      <c r="J233" s="254" t="str">
        <f t="shared" si="29"/>
        <v>-</v>
      </c>
      <c r="K233" s="254" t="str">
        <f t="shared" si="29"/>
        <v>-</v>
      </c>
      <c r="L233" s="254" t="str">
        <f t="shared" si="29"/>
        <v>-</v>
      </c>
      <c r="M233" s="254" t="str">
        <f t="shared" si="29"/>
        <v>-</v>
      </c>
      <c r="N233" s="255"/>
    </row>
    <row r="234" spans="1:14" s="256" customFormat="1" hidden="1" outlineLevel="2">
      <c r="A234" s="178"/>
      <c r="B234" s="257" t="s">
        <v>203</v>
      </c>
      <c r="C234" s="253" t="s">
        <v>176</v>
      </c>
      <c r="D234" s="173">
        <v>-1</v>
      </c>
      <c r="E234" s="252">
        <v>1.9</v>
      </c>
      <c r="F234" s="252">
        <v>0.9</v>
      </c>
      <c r="G234" s="254" t="str">
        <f t="shared" si="29"/>
        <v>-</v>
      </c>
      <c r="H234" s="254" t="str">
        <f t="shared" si="29"/>
        <v>-</v>
      </c>
      <c r="I234" s="254" t="str">
        <f t="shared" si="29"/>
        <v>-</v>
      </c>
      <c r="J234" s="254" t="str">
        <f t="shared" si="29"/>
        <v>-</v>
      </c>
      <c r="K234" s="254" t="str">
        <f t="shared" si="29"/>
        <v>-</v>
      </c>
      <c r="L234" s="254" t="str">
        <f t="shared" si="29"/>
        <v>-</v>
      </c>
      <c r="M234" s="254" t="str">
        <f t="shared" si="29"/>
        <v>-</v>
      </c>
      <c r="N234" s="255"/>
    </row>
    <row r="235" spans="1:14" s="256" customFormat="1" hidden="1" outlineLevel="2">
      <c r="A235" s="178"/>
      <c r="B235" s="252" t="s">
        <v>204</v>
      </c>
      <c r="C235" s="253" t="s">
        <v>177</v>
      </c>
      <c r="D235" s="173">
        <v>2</v>
      </c>
      <c r="E235" s="252"/>
      <c r="F235" s="252"/>
      <c r="G235" s="254" t="str">
        <f t="shared" si="29"/>
        <v>-</v>
      </c>
      <c r="H235" s="254" t="str">
        <f t="shared" si="29"/>
        <v>-</v>
      </c>
      <c r="I235" s="254" t="str">
        <f t="shared" si="29"/>
        <v>-</v>
      </c>
      <c r="J235" s="254" t="str">
        <f t="shared" si="29"/>
        <v>-</v>
      </c>
      <c r="K235" s="254">
        <f t="shared" si="29"/>
        <v>2</v>
      </c>
      <c r="L235" s="254" t="str">
        <f t="shared" si="29"/>
        <v>-</v>
      </c>
      <c r="M235" s="254" t="str">
        <f t="shared" si="29"/>
        <v>-</v>
      </c>
      <c r="N235" s="255"/>
    </row>
    <row r="236" spans="1:14" s="256" customFormat="1" hidden="1" outlineLevel="2">
      <c r="A236" s="178"/>
      <c r="B236" s="252" t="s">
        <v>205</v>
      </c>
      <c r="C236" s="253" t="s">
        <v>178</v>
      </c>
      <c r="D236" s="173">
        <v>1</v>
      </c>
      <c r="E236" s="252"/>
      <c r="F236" s="252"/>
      <c r="G236" s="254" t="str">
        <f t="shared" si="29"/>
        <v>-</v>
      </c>
      <c r="H236" s="254" t="str">
        <f t="shared" si="29"/>
        <v>-</v>
      </c>
      <c r="I236" s="254" t="str">
        <f t="shared" si="29"/>
        <v>-</v>
      </c>
      <c r="J236" s="254" t="str">
        <f t="shared" si="29"/>
        <v>-</v>
      </c>
      <c r="K236" s="254" t="str">
        <f t="shared" si="29"/>
        <v>-</v>
      </c>
      <c r="L236" s="254">
        <f t="shared" si="29"/>
        <v>1</v>
      </c>
      <c r="M236" s="254" t="str">
        <f t="shared" si="29"/>
        <v>-</v>
      </c>
      <c r="N236" s="255"/>
    </row>
    <row r="237" spans="1:14" s="256" customFormat="1" hidden="1" outlineLevel="2">
      <c r="A237" s="259"/>
      <c r="B237" s="252"/>
      <c r="D237" s="253"/>
      <c r="E237" s="252"/>
      <c r="F237" s="252"/>
      <c r="G237" s="254" t="str">
        <f t="shared" ref="G237:M237" si="30">IF($D237=G$5,PRODUCT($D237:$F237),"-")</f>
        <v>-</v>
      </c>
      <c r="H237" s="254" t="str">
        <f t="shared" si="30"/>
        <v>-</v>
      </c>
      <c r="I237" s="254" t="str">
        <f t="shared" si="30"/>
        <v>-</v>
      </c>
      <c r="J237" s="254" t="str">
        <f t="shared" si="30"/>
        <v>-</v>
      </c>
      <c r="K237" s="254" t="str">
        <f t="shared" si="30"/>
        <v>-</v>
      </c>
      <c r="L237" s="254" t="str">
        <f t="shared" si="30"/>
        <v>-</v>
      </c>
      <c r="M237" s="254" t="str">
        <f t="shared" si="30"/>
        <v>-</v>
      </c>
      <c r="N237" s="255"/>
    </row>
    <row r="238" spans="1:14" s="251" customFormat="1" ht="15" hidden="1" outlineLevel="1" collapsed="1">
      <c r="A238" s="245"/>
      <c r="B238" s="246" t="s">
        <v>224</v>
      </c>
      <c r="C238" s="245"/>
      <c r="D238" s="247">
        <v>1</v>
      </c>
      <c r="E238" s="248"/>
      <c r="F238" s="248"/>
      <c r="G238" s="249">
        <f>SUBTOTAL(9,G239:G257)</f>
        <v>17</v>
      </c>
      <c r="H238" s="249">
        <f t="shared" ref="H238:M238" si="31">SUBTOTAL(9,H239:H257)</f>
        <v>6.1</v>
      </c>
      <c r="I238" s="249">
        <f t="shared" si="31"/>
        <v>3.7</v>
      </c>
      <c r="J238" s="249">
        <f t="shared" si="31"/>
        <v>0</v>
      </c>
      <c r="K238" s="249">
        <f t="shared" si="31"/>
        <v>1</v>
      </c>
      <c r="L238" s="249">
        <f t="shared" si="31"/>
        <v>1</v>
      </c>
      <c r="M238" s="249">
        <f t="shared" si="31"/>
        <v>0</v>
      </c>
      <c r="N238" s="250"/>
    </row>
    <row r="239" spans="1:14" s="256" customFormat="1" hidden="1" outlineLevel="2">
      <c r="A239" s="178"/>
      <c r="B239" s="252" t="s">
        <v>189</v>
      </c>
      <c r="C239" s="253" t="s">
        <v>169</v>
      </c>
      <c r="D239" s="173">
        <v>1</v>
      </c>
      <c r="E239" s="252">
        <v>17</v>
      </c>
      <c r="F239" s="252"/>
      <c r="G239" s="254">
        <f t="shared" si="29"/>
        <v>17</v>
      </c>
      <c r="H239" s="254" t="str">
        <f t="shared" si="29"/>
        <v>-</v>
      </c>
      <c r="I239" s="254" t="str">
        <f t="shared" si="29"/>
        <v>-</v>
      </c>
      <c r="J239" s="254" t="str">
        <f t="shared" si="29"/>
        <v>-</v>
      </c>
      <c r="K239" s="254" t="str">
        <f t="shared" si="29"/>
        <v>-</v>
      </c>
      <c r="L239" s="254" t="str">
        <f t="shared" si="29"/>
        <v>-</v>
      </c>
      <c r="M239" s="254" t="str">
        <f t="shared" si="29"/>
        <v>-</v>
      </c>
      <c r="N239" s="255"/>
    </row>
    <row r="240" spans="1:14" s="256" customFormat="1" hidden="1" outlineLevel="2">
      <c r="A240" s="178"/>
      <c r="B240" s="252" t="s">
        <v>190</v>
      </c>
      <c r="C240" s="253" t="s">
        <v>170</v>
      </c>
      <c r="D240" s="173">
        <v>1</v>
      </c>
      <c r="E240" s="252">
        <v>16.600000000000001</v>
      </c>
      <c r="F240" s="252"/>
      <c r="G240" s="254" t="str">
        <f t="shared" si="29"/>
        <v>-</v>
      </c>
      <c r="H240" s="254" t="str">
        <f t="shared" si="29"/>
        <v>-</v>
      </c>
      <c r="I240" s="254" t="str">
        <f t="shared" si="29"/>
        <v>-</v>
      </c>
      <c r="J240" s="254" t="str">
        <f t="shared" si="29"/>
        <v>-</v>
      </c>
      <c r="K240" s="254" t="str">
        <f t="shared" si="29"/>
        <v>-</v>
      </c>
      <c r="L240" s="254" t="str">
        <f t="shared" si="29"/>
        <v>-</v>
      </c>
      <c r="M240" s="254" t="str">
        <f t="shared" si="29"/>
        <v>-</v>
      </c>
      <c r="N240" s="255"/>
    </row>
    <row r="241" spans="1:14" s="256" customFormat="1" hidden="1" outlineLevel="2">
      <c r="A241" s="178"/>
      <c r="B241" s="257" t="s">
        <v>191</v>
      </c>
      <c r="C241" s="253" t="s">
        <v>170</v>
      </c>
      <c r="D241" s="173">
        <v>-1</v>
      </c>
      <c r="E241" s="252">
        <v>1.75</v>
      </c>
      <c r="F241" s="252"/>
      <c r="G241" s="254" t="str">
        <f t="shared" si="29"/>
        <v>-</v>
      </c>
      <c r="H241" s="254" t="str">
        <f t="shared" si="29"/>
        <v>-</v>
      </c>
      <c r="I241" s="254" t="str">
        <f t="shared" si="29"/>
        <v>-</v>
      </c>
      <c r="J241" s="254" t="str">
        <f t="shared" si="29"/>
        <v>-</v>
      </c>
      <c r="K241" s="254" t="str">
        <f t="shared" si="29"/>
        <v>-</v>
      </c>
      <c r="L241" s="254" t="str">
        <f t="shared" si="29"/>
        <v>-</v>
      </c>
      <c r="M241" s="254" t="str">
        <f t="shared" si="29"/>
        <v>-</v>
      </c>
      <c r="N241" s="255"/>
    </row>
    <row r="242" spans="1:14" s="256" customFormat="1" hidden="1" outlineLevel="2">
      <c r="A242" s="178"/>
      <c r="B242" s="257" t="s">
        <v>192</v>
      </c>
      <c r="C242" s="253" t="s">
        <v>170</v>
      </c>
      <c r="D242" s="173">
        <v>-1</v>
      </c>
      <c r="E242" s="252">
        <v>2.8</v>
      </c>
      <c r="F242" s="252"/>
      <c r="G242" s="254" t="str">
        <f t="shared" si="29"/>
        <v>-</v>
      </c>
      <c r="H242" s="254" t="str">
        <f t="shared" si="29"/>
        <v>-</v>
      </c>
      <c r="I242" s="254" t="str">
        <f t="shared" si="29"/>
        <v>-</v>
      </c>
      <c r="J242" s="254" t="str">
        <f t="shared" si="29"/>
        <v>-</v>
      </c>
      <c r="K242" s="254" t="str">
        <f t="shared" si="29"/>
        <v>-</v>
      </c>
      <c r="L242" s="254" t="str">
        <f t="shared" si="29"/>
        <v>-</v>
      </c>
      <c r="M242" s="254" t="str">
        <f t="shared" si="29"/>
        <v>-</v>
      </c>
      <c r="N242" s="255"/>
    </row>
    <row r="243" spans="1:14" s="256" customFormat="1" hidden="1" outlineLevel="2">
      <c r="A243" s="178"/>
      <c r="B243" s="252" t="s">
        <v>193</v>
      </c>
      <c r="C243" s="253" t="s">
        <v>171</v>
      </c>
      <c r="D243" s="173">
        <v>1</v>
      </c>
      <c r="E243" s="252">
        <v>6.1</v>
      </c>
      <c r="F243" s="252"/>
      <c r="G243" s="254" t="str">
        <f t="shared" si="29"/>
        <v>-</v>
      </c>
      <c r="H243" s="254">
        <f t="shared" ref="G243:M267" si="32">IF($C243=H$5,PRODUCT($D243:$F243),"-")</f>
        <v>6.1</v>
      </c>
      <c r="I243" s="254" t="str">
        <f t="shared" si="32"/>
        <v>-</v>
      </c>
      <c r="J243" s="254" t="str">
        <f t="shared" si="32"/>
        <v>-</v>
      </c>
      <c r="K243" s="254" t="str">
        <f t="shared" si="32"/>
        <v>-</v>
      </c>
      <c r="L243" s="254" t="str">
        <f t="shared" si="32"/>
        <v>-</v>
      </c>
      <c r="M243" s="254" t="str">
        <f t="shared" si="32"/>
        <v>-</v>
      </c>
      <c r="N243" s="255"/>
    </row>
    <row r="244" spans="1:14" s="256" customFormat="1" hidden="1" outlineLevel="2">
      <c r="A244" s="178"/>
      <c r="B244" s="252" t="s">
        <v>194</v>
      </c>
      <c r="C244" s="253" t="s">
        <v>172</v>
      </c>
      <c r="D244" s="173">
        <v>1</v>
      </c>
      <c r="E244" s="252">
        <v>10.6</v>
      </c>
      <c r="F244" s="252"/>
      <c r="G244" s="254" t="str">
        <f t="shared" si="32"/>
        <v>-</v>
      </c>
      <c r="H244" s="254" t="str">
        <f t="shared" si="32"/>
        <v>-</v>
      </c>
      <c r="I244" s="254" t="str">
        <f t="shared" si="32"/>
        <v>-</v>
      </c>
      <c r="J244" s="254" t="str">
        <f t="shared" si="32"/>
        <v>-</v>
      </c>
      <c r="K244" s="254" t="str">
        <f t="shared" si="32"/>
        <v>-</v>
      </c>
      <c r="L244" s="254" t="str">
        <f t="shared" si="32"/>
        <v>-</v>
      </c>
      <c r="M244" s="254" t="str">
        <f t="shared" si="32"/>
        <v>-</v>
      </c>
      <c r="N244" s="255"/>
    </row>
    <row r="245" spans="1:14" s="256" customFormat="1" hidden="1" outlineLevel="2">
      <c r="A245" s="178"/>
      <c r="B245" s="257" t="s">
        <v>191</v>
      </c>
      <c r="C245" s="253" t="s">
        <v>172</v>
      </c>
      <c r="D245" s="173">
        <v>-2</v>
      </c>
      <c r="E245" s="252">
        <f>1.75+0.8</f>
        <v>2.5499999999999998</v>
      </c>
      <c r="F245" s="252"/>
      <c r="G245" s="254" t="str">
        <f t="shared" si="32"/>
        <v>-</v>
      </c>
      <c r="H245" s="254" t="str">
        <f t="shared" si="32"/>
        <v>-</v>
      </c>
      <c r="I245" s="254" t="str">
        <f t="shared" si="32"/>
        <v>-</v>
      </c>
      <c r="J245" s="254" t="str">
        <f t="shared" si="32"/>
        <v>-</v>
      </c>
      <c r="K245" s="254" t="str">
        <f t="shared" si="32"/>
        <v>-</v>
      </c>
      <c r="L245" s="254" t="str">
        <f t="shared" si="32"/>
        <v>-</v>
      </c>
      <c r="M245" s="254" t="str">
        <f t="shared" si="32"/>
        <v>-</v>
      </c>
      <c r="N245" s="255"/>
    </row>
    <row r="246" spans="1:14" s="256" customFormat="1" hidden="1" outlineLevel="2">
      <c r="A246" s="178"/>
      <c r="B246" s="257" t="s">
        <v>195</v>
      </c>
      <c r="C246" s="253" t="s">
        <v>172</v>
      </c>
      <c r="D246" s="173">
        <v>-1</v>
      </c>
      <c r="E246" s="252">
        <v>3.6</v>
      </c>
      <c r="F246" s="252"/>
      <c r="G246" s="254" t="str">
        <f t="shared" si="32"/>
        <v>-</v>
      </c>
      <c r="H246" s="254" t="str">
        <f t="shared" si="32"/>
        <v>-</v>
      </c>
      <c r="I246" s="254" t="str">
        <f t="shared" si="32"/>
        <v>-</v>
      </c>
      <c r="J246" s="254" t="str">
        <f t="shared" si="32"/>
        <v>-</v>
      </c>
      <c r="K246" s="254" t="str">
        <f t="shared" si="32"/>
        <v>-</v>
      </c>
      <c r="L246" s="254" t="str">
        <f t="shared" si="32"/>
        <v>-</v>
      </c>
      <c r="M246" s="254" t="str">
        <f t="shared" si="32"/>
        <v>-</v>
      </c>
      <c r="N246" s="255"/>
    </row>
    <row r="247" spans="1:14" s="256" customFormat="1" hidden="1" outlineLevel="2">
      <c r="A247" s="178"/>
      <c r="B247" s="252" t="s">
        <v>196</v>
      </c>
      <c r="C247" s="253" t="s">
        <v>173</v>
      </c>
      <c r="D247" s="173">
        <v>1</v>
      </c>
      <c r="E247" s="252">
        <v>3.7</v>
      </c>
      <c r="F247" s="252"/>
      <c r="G247" s="254" t="str">
        <f t="shared" si="32"/>
        <v>-</v>
      </c>
      <c r="H247" s="254" t="str">
        <f t="shared" si="32"/>
        <v>-</v>
      </c>
      <c r="I247" s="254">
        <f t="shared" si="32"/>
        <v>3.7</v>
      </c>
      <c r="J247" s="254" t="str">
        <f t="shared" si="32"/>
        <v>-</v>
      </c>
      <c r="K247" s="254" t="str">
        <f t="shared" si="32"/>
        <v>-</v>
      </c>
      <c r="L247" s="254" t="str">
        <f t="shared" si="32"/>
        <v>-</v>
      </c>
      <c r="M247" s="254" t="str">
        <f t="shared" si="32"/>
        <v>-</v>
      </c>
      <c r="N247" s="255"/>
    </row>
    <row r="248" spans="1:14" s="256" customFormat="1" hidden="1" outlineLevel="2">
      <c r="A248" s="178"/>
      <c r="B248" s="252" t="s">
        <v>198</v>
      </c>
      <c r="C248" s="253" t="s">
        <v>174</v>
      </c>
      <c r="D248" s="173">
        <v>1</v>
      </c>
      <c r="E248" s="252">
        <v>9.6</v>
      </c>
      <c r="F248" s="252">
        <v>2.2999999999999998</v>
      </c>
      <c r="G248" s="254" t="str">
        <f t="shared" si="32"/>
        <v>-</v>
      </c>
      <c r="H248" s="254" t="str">
        <f t="shared" si="32"/>
        <v>-</v>
      </c>
      <c r="I248" s="254" t="str">
        <f t="shared" si="32"/>
        <v>-</v>
      </c>
      <c r="J248" s="254" t="str">
        <f t="shared" si="32"/>
        <v>-</v>
      </c>
      <c r="K248" s="254" t="str">
        <f t="shared" si="32"/>
        <v>-</v>
      </c>
      <c r="L248" s="254" t="str">
        <f t="shared" si="32"/>
        <v>-</v>
      </c>
      <c r="M248" s="254" t="str">
        <f t="shared" si="32"/>
        <v>-</v>
      </c>
      <c r="N248" s="255"/>
    </row>
    <row r="249" spans="1:14" s="256" customFormat="1" hidden="1" outlineLevel="2">
      <c r="A249" s="178"/>
      <c r="B249" s="257" t="s">
        <v>212</v>
      </c>
      <c r="C249" s="253" t="s">
        <v>174</v>
      </c>
      <c r="D249" s="173">
        <v>-1</v>
      </c>
      <c r="E249" s="252">
        <v>0.8</v>
      </c>
      <c r="F249" s="252">
        <v>2.2200000000000002</v>
      </c>
      <c r="G249" s="254" t="str">
        <f t="shared" si="32"/>
        <v>-</v>
      </c>
      <c r="H249" s="254" t="str">
        <f t="shared" si="32"/>
        <v>-</v>
      </c>
      <c r="I249" s="254" t="str">
        <f t="shared" si="32"/>
        <v>-</v>
      </c>
      <c r="J249" s="254" t="str">
        <f t="shared" si="32"/>
        <v>-</v>
      </c>
      <c r="K249" s="254" t="str">
        <f t="shared" si="32"/>
        <v>-</v>
      </c>
      <c r="L249" s="254" t="str">
        <f t="shared" si="32"/>
        <v>-</v>
      </c>
      <c r="M249" s="254" t="str">
        <f t="shared" si="32"/>
        <v>-</v>
      </c>
      <c r="N249" s="255"/>
    </row>
    <row r="250" spans="1:14" s="256" customFormat="1" hidden="1" outlineLevel="2">
      <c r="A250" s="178"/>
      <c r="B250" s="257" t="s">
        <v>199</v>
      </c>
      <c r="C250" s="253" t="s">
        <v>174</v>
      </c>
      <c r="D250" s="173">
        <v>-1</v>
      </c>
      <c r="E250" s="252">
        <v>1.55</v>
      </c>
      <c r="F250" s="252">
        <v>1.7</v>
      </c>
      <c r="G250" s="254" t="str">
        <f t="shared" si="32"/>
        <v>-</v>
      </c>
      <c r="H250" s="254" t="str">
        <f t="shared" si="32"/>
        <v>-</v>
      </c>
      <c r="I250" s="254" t="str">
        <f t="shared" si="32"/>
        <v>-</v>
      </c>
      <c r="J250" s="254" t="str">
        <f t="shared" si="32"/>
        <v>-</v>
      </c>
      <c r="K250" s="254" t="str">
        <f t="shared" si="32"/>
        <v>-</v>
      </c>
      <c r="L250" s="254" t="str">
        <f t="shared" si="32"/>
        <v>-</v>
      </c>
      <c r="M250" s="254" t="str">
        <f t="shared" si="32"/>
        <v>-</v>
      </c>
      <c r="N250" s="255"/>
    </row>
    <row r="251" spans="1:14" s="256" customFormat="1" hidden="1" outlineLevel="2">
      <c r="A251" s="178"/>
      <c r="B251" s="257" t="s">
        <v>200</v>
      </c>
      <c r="C251" s="253" t="s">
        <v>174</v>
      </c>
      <c r="D251" s="173">
        <v>-2</v>
      </c>
      <c r="E251" s="252">
        <v>0.95</v>
      </c>
      <c r="F251" s="252">
        <v>0.55000000000000004</v>
      </c>
      <c r="G251" s="254" t="str">
        <f t="shared" si="32"/>
        <v>-</v>
      </c>
      <c r="H251" s="254" t="str">
        <f t="shared" si="32"/>
        <v>-</v>
      </c>
      <c r="I251" s="254" t="str">
        <f t="shared" si="32"/>
        <v>-</v>
      </c>
      <c r="J251" s="254" t="str">
        <f t="shared" si="32"/>
        <v>-</v>
      </c>
      <c r="K251" s="254" t="str">
        <f t="shared" si="32"/>
        <v>-</v>
      </c>
      <c r="L251" s="254" t="str">
        <f t="shared" si="32"/>
        <v>-</v>
      </c>
      <c r="M251" s="254" t="str">
        <f t="shared" si="32"/>
        <v>-</v>
      </c>
      <c r="N251" s="255"/>
    </row>
    <row r="252" spans="1:14" s="256" customFormat="1" hidden="1" outlineLevel="2">
      <c r="A252" s="178"/>
      <c r="B252" s="258" t="s">
        <v>201</v>
      </c>
      <c r="C252" s="253" t="s">
        <v>174</v>
      </c>
      <c r="D252" s="173">
        <v>1</v>
      </c>
      <c r="E252" s="252">
        <v>1.9</v>
      </c>
      <c r="F252" s="252">
        <v>0.25</v>
      </c>
      <c r="G252" s="254" t="str">
        <f t="shared" si="32"/>
        <v>-</v>
      </c>
      <c r="H252" s="254" t="str">
        <f t="shared" si="32"/>
        <v>-</v>
      </c>
      <c r="I252" s="254" t="str">
        <f t="shared" si="32"/>
        <v>-</v>
      </c>
      <c r="J252" s="254" t="str">
        <f t="shared" si="32"/>
        <v>-</v>
      </c>
      <c r="K252" s="254" t="str">
        <f t="shared" si="32"/>
        <v>-</v>
      </c>
      <c r="L252" s="254" t="str">
        <f t="shared" si="32"/>
        <v>-</v>
      </c>
      <c r="M252" s="254" t="str">
        <f t="shared" si="32"/>
        <v>-</v>
      </c>
      <c r="N252" s="255"/>
    </row>
    <row r="253" spans="1:14" s="256" customFormat="1" hidden="1" outlineLevel="2">
      <c r="A253" s="178"/>
      <c r="B253" s="252" t="s">
        <v>202</v>
      </c>
      <c r="C253" s="253" t="s">
        <v>176</v>
      </c>
      <c r="D253" s="173"/>
      <c r="E253" s="252">
        <v>1.9</v>
      </c>
      <c r="F253" s="252">
        <v>0.95</v>
      </c>
      <c r="G253" s="254" t="str">
        <f t="shared" si="32"/>
        <v>-</v>
      </c>
      <c r="H253" s="254" t="str">
        <f t="shared" si="32"/>
        <v>-</v>
      </c>
      <c r="I253" s="254" t="str">
        <f t="shared" si="32"/>
        <v>-</v>
      </c>
      <c r="J253" s="254" t="str">
        <f t="shared" si="32"/>
        <v>-</v>
      </c>
      <c r="K253" s="254" t="str">
        <f t="shared" si="32"/>
        <v>-</v>
      </c>
      <c r="L253" s="254" t="str">
        <f t="shared" si="32"/>
        <v>-</v>
      </c>
      <c r="M253" s="254" t="str">
        <f t="shared" si="32"/>
        <v>-</v>
      </c>
      <c r="N253" s="255"/>
    </row>
    <row r="254" spans="1:14" s="256" customFormat="1" hidden="1" outlineLevel="2">
      <c r="A254" s="178"/>
      <c r="B254" s="257" t="s">
        <v>203</v>
      </c>
      <c r="C254" s="253" t="s">
        <v>176</v>
      </c>
      <c r="D254" s="173">
        <v>-1</v>
      </c>
      <c r="E254" s="252">
        <v>1.7</v>
      </c>
      <c r="F254" s="252">
        <v>0.7</v>
      </c>
      <c r="G254" s="254" t="str">
        <f t="shared" si="32"/>
        <v>-</v>
      </c>
      <c r="H254" s="254" t="str">
        <f t="shared" si="32"/>
        <v>-</v>
      </c>
      <c r="I254" s="254" t="str">
        <f t="shared" si="32"/>
        <v>-</v>
      </c>
      <c r="J254" s="254" t="str">
        <f t="shared" si="32"/>
        <v>-</v>
      </c>
      <c r="K254" s="254" t="str">
        <f t="shared" si="32"/>
        <v>-</v>
      </c>
      <c r="L254" s="254" t="str">
        <f t="shared" si="32"/>
        <v>-</v>
      </c>
      <c r="M254" s="254" t="str">
        <f t="shared" si="32"/>
        <v>-</v>
      </c>
      <c r="N254" s="255"/>
    </row>
    <row r="255" spans="1:14" s="256" customFormat="1" hidden="1" outlineLevel="2">
      <c r="A255" s="178"/>
      <c r="B255" s="252" t="s">
        <v>204</v>
      </c>
      <c r="C255" s="253" t="s">
        <v>177</v>
      </c>
      <c r="D255" s="173">
        <v>1</v>
      </c>
      <c r="E255" s="252"/>
      <c r="F255" s="252"/>
      <c r="G255" s="254" t="str">
        <f t="shared" si="32"/>
        <v>-</v>
      </c>
      <c r="H255" s="254" t="str">
        <f t="shared" si="32"/>
        <v>-</v>
      </c>
      <c r="I255" s="254" t="str">
        <f t="shared" si="32"/>
        <v>-</v>
      </c>
      <c r="J255" s="254" t="str">
        <f t="shared" si="32"/>
        <v>-</v>
      </c>
      <c r="K255" s="254">
        <f t="shared" si="32"/>
        <v>1</v>
      </c>
      <c r="L255" s="254" t="str">
        <f t="shared" si="32"/>
        <v>-</v>
      </c>
      <c r="M255" s="254" t="str">
        <f t="shared" si="32"/>
        <v>-</v>
      </c>
      <c r="N255" s="255"/>
    </row>
    <row r="256" spans="1:14" s="256" customFormat="1" hidden="1" outlineLevel="2">
      <c r="A256" s="178"/>
      <c r="B256" s="252" t="s">
        <v>205</v>
      </c>
      <c r="C256" s="253" t="s">
        <v>178</v>
      </c>
      <c r="D256" s="173">
        <v>1</v>
      </c>
      <c r="E256" s="252"/>
      <c r="F256" s="252"/>
      <c r="G256" s="254" t="str">
        <f t="shared" si="32"/>
        <v>-</v>
      </c>
      <c r="H256" s="254" t="str">
        <f t="shared" si="32"/>
        <v>-</v>
      </c>
      <c r="I256" s="254" t="str">
        <f t="shared" si="32"/>
        <v>-</v>
      </c>
      <c r="J256" s="254" t="str">
        <f t="shared" si="32"/>
        <v>-</v>
      </c>
      <c r="K256" s="254" t="str">
        <f t="shared" si="32"/>
        <v>-</v>
      </c>
      <c r="L256" s="254">
        <f t="shared" si="32"/>
        <v>1</v>
      </c>
      <c r="M256" s="254" t="str">
        <f t="shared" si="32"/>
        <v>-</v>
      </c>
      <c r="N256" s="255"/>
    </row>
    <row r="257" spans="1:14" s="256" customFormat="1" hidden="1" outlineLevel="2">
      <c r="A257" s="259"/>
      <c r="B257" s="252"/>
      <c r="C257" s="253"/>
      <c r="D257" s="173"/>
      <c r="E257" s="252"/>
      <c r="F257" s="252"/>
      <c r="G257" s="254" t="str">
        <f t="shared" si="32"/>
        <v>-</v>
      </c>
      <c r="H257" s="254" t="str">
        <f t="shared" si="32"/>
        <v>-</v>
      </c>
      <c r="I257" s="254" t="str">
        <f t="shared" si="32"/>
        <v>-</v>
      </c>
      <c r="J257" s="254" t="str">
        <f t="shared" si="32"/>
        <v>-</v>
      </c>
      <c r="K257" s="254" t="str">
        <f t="shared" si="32"/>
        <v>-</v>
      </c>
      <c r="L257" s="254" t="str">
        <f t="shared" si="32"/>
        <v>-</v>
      </c>
      <c r="M257" s="254" t="str">
        <f t="shared" si="32"/>
        <v>-</v>
      </c>
      <c r="N257" s="255"/>
    </row>
    <row r="258" spans="1:14" s="251" customFormat="1" ht="15" hidden="1" outlineLevel="1" collapsed="1">
      <c r="A258" s="245"/>
      <c r="B258" s="246" t="s">
        <v>225</v>
      </c>
      <c r="C258" s="245"/>
      <c r="D258" s="247">
        <v>1</v>
      </c>
      <c r="E258" s="248"/>
      <c r="F258" s="248"/>
      <c r="G258" s="249">
        <f>SUBTOTAL(9,G259:G277)</f>
        <v>18.399999999999999</v>
      </c>
      <c r="H258" s="249">
        <f t="shared" ref="H258:M258" si="33">SUBTOTAL(9,H259:H277)</f>
        <v>6.8</v>
      </c>
      <c r="I258" s="249">
        <f t="shared" si="33"/>
        <v>3.7</v>
      </c>
      <c r="J258" s="249">
        <f t="shared" si="33"/>
        <v>0</v>
      </c>
      <c r="K258" s="249">
        <f t="shared" si="33"/>
        <v>1</v>
      </c>
      <c r="L258" s="249">
        <f t="shared" si="33"/>
        <v>1</v>
      </c>
      <c r="M258" s="249">
        <f t="shared" si="33"/>
        <v>0</v>
      </c>
      <c r="N258" s="250"/>
    </row>
    <row r="259" spans="1:14" s="256" customFormat="1" hidden="1" outlineLevel="2">
      <c r="A259" s="178"/>
      <c r="B259" s="252" t="s">
        <v>189</v>
      </c>
      <c r="C259" s="253" t="s">
        <v>169</v>
      </c>
      <c r="D259" s="173">
        <v>1</v>
      </c>
      <c r="E259" s="252">
        <v>18.399999999999999</v>
      </c>
      <c r="F259" s="252"/>
      <c r="G259" s="254">
        <f t="shared" si="32"/>
        <v>18.399999999999999</v>
      </c>
      <c r="H259" s="254" t="str">
        <f t="shared" si="32"/>
        <v>-</v>
      </c>
      <c r="I259" s="254" t="str">
        <f t="shared" si="32"/>
        <v>-</v>
      </c>
      <c r="J259" s="254" t="str">
        <f t="shared" si="32"/>
        <v>-</v>
      </c>
      <c r="K259" s="254" t="str">
        <f t="shared" si="32"/>
        <v>-</v>
      </c>
      <c r="L259" s="254" t="str">
        <f t="shared" si="32"/>
        <v>-</v>
      </c>
      <c r="M259" s="254" t="str">
        <f t="shared" si="32"/>
        <v>-</v>
      </c>
      <c r="N259" s="255"/>
    </row>
    <row r="260" spans="1:14" s="256" customFormat="1" hidden="1" outlineLevel="2">
      <c r="A260" s="178"/>
      <c r="B260" s="252" t="s">
        <v>190</v>
      </c>
      <c r="C260" s="253" t="s">
        <v>170</v>
      </c>
      <c r="D260" s="173">
        <v>1</v>
      </c>
      <c r="E260" s="252">
        <v>17.899999999999999</v>
      </c>
      <c r="F260" s="252"/>
      <c r="G260" s="254" t="str">
        <f t="shared" si="32"/>
        <v>-</v>
      </c>
      <c r="H260" s="254" t="str">
        <f t="shared" si="32"/>
        <v>-</v>
      </c>
      <c r="I260" s="254" t="str">
        <f t="shared" si="32"/>
        <v>-</v>
      </c>
      <c r="J260" s="254" t="str">
        <f t="shared" si="32"/>
        <v>-</v>
      </c>
      <c r="K260" s="254" t="str">
        <f t="shared" si="32"/>
        <v>-</v>
      </c>
      <c r="L260" s="254" t="str">
        <f t="shared" si="32"/>
        <v>-</v>
      </c>
      <c r="M260" s="254" t="str">
        <f t="shared" si="32"/>
        <v>-</v>
      </c>
      <c r="N260" s="255"/>
    </row>
    <row r="261" spans="1:14" s="256" customFormat="1" hidden="1" outlineLevel="2">
      <c r="A261" s="178"/>
      <c r="B261" s="257" t="s">
        <v>191</v>
      </c>
      <c r="C261" s="253" t="s">
        <v>170</v>
      </c>
      <c r="D261" s="173">
        <v>-1</v>
      </c>
      <c r="E261" s="252">
        <v>1.75</v>
      </c>
      <c r="F261" s="252"/>
      <c r="G261" s="254" t="str">
        <f t="shared" si="32"/>
        <v>-</v>
      </c>
      <c r="H261" s="254" t="str">
        <f t="shared" si="32"/>
        <v>-</v>
      </c>
      <c r="I261" s="254" t="str">
        <f t="shared" si="32"/>
        <v>-</v>
      </c>
      <c r="J261" s="254" t="str">
        <f t="shared" si="32"/>
        <v>-</v>
      </c>
      <c r="K261" s="254" t="str">
        <f t="shared" si="32"/>
        <v>-</v>
      </c>
      <c r="L261" s="254" t="str">
        <f t="shared" si="32"/>
        <v>-</v>
      </c>
      <c r="M261" s="254" t="str">
        <f t="shared" si="32"/>
        <v>-</v>
      </c>
      <c r="N261" s="255"/>
    </row>
    <row r="262" spans="1:14" s="256" customFormat="1" hidden="1" outlineLevel="2">
      <c r="A262" s="178"/>
      <c r="B262" s="257" t="s">
        <v>192</v>
      </c>
      <c r="C262" s="253" t="s">
        <v>170</v>
      </c>
      <c r="D262" s="173">
        <v>-1</v>
      </c>
      <c r="E262" s="252">
        <v>2.8</v>
      </c>
      <c r="F262" s="252"/>
      <c r="G262" s="254" t="str">
        <f t="shared" si="32"/>
        <v>-</v>
      </c>
      <c r="H262" s="254" t="str">
        <f t="shared" si="32"/>
        <v>-</v>
      </c>
      <c r="I262" s="254" t="str">
        <f t="shared" si="32"/>
        <v>-</v>
      </c>
      <c r="J262" s="254" t="str">
        <f t="shared" si="32"/>
        <v>-</v>
      </c>
      <c r="K262" s="254" t="str">
        <f t="shared" si="32"/>
        <v>-</v>
      </c>
      <c r="L262" s="254" t="str">
        <f t="shared" si="32"/>
        <v>-</v>
      </c>
      <c r="M262" s="254" t="str">
        <f t="shared" si="32"/>
        <v>-</v>
      </c>
      <c r="N262" s="255"/>
    </row>
    <row r="263" spans="1:14" s="256" customFormat="1" hidden="1" outlineLevel="2">
      <c r="A263" s="178"/>
      <c r="B263" s="252" t="s">
        <v>193</v>
      </c>
      <c r="C263" s="253" t="s">
        <v>171</v>
      </c>
      <c r="D263" s="173">
        <v>1</v>
      </c>
      <c r="E263" s="252">
        <v>6.8</v>
      </c>
      <c r="F263" s="252"/>
      <c r="G263" s="254" t="str">
        <f t="shared" si="32"/>
        <v>-</v>
      </c>
      <c r="H263" s="254">
        <f t="shared" si="32"/>
        <v>6.8</v>
      </c>
      <c r="I263" s="254" t="str">
        <f t="shared" si="32"/>
        <v>-</v>
      </c>
      <c r="J263" s="254" t="str">
        <f t="shared" si="32"/>
        <v>-</v>
      </c>
      <c r="K263" s="254" t="str">
        <f t="shared" si="32"/>
        <v>-</v>
      </c>
      <c r="L263" s="254" t="str">
        <f t="shared" si="32"/>
        <v>-</v>
      </c>
      <c r="M263" s="254" t="str">
        <f t="shared" si="32"/>
        <v>-</v>
      </c>
      <c r="N263" s="255"/>
    </row>
    <row r="264" spans="1:14" s="256" customFormat="1" hidden="1" outlineLevel="2">
      <c r="A264" s="178"/>
      <c r="B264" s="252" t="s">
        <v>194</v>
      </c>
      <c r="C264" s="253" t="s">
        <v>172</v>
      </c>
      <c r="D264" s="173">
        <v>1</v>
      </c>
      <c r="E264" s="252">
        <v>11.9</v>
      </c>
      <c r="F264" s="252"/>
      <c r="G264" s="254" t="str">
        <f t="shared" si="32"/>
        <v>-</v>
      </c>
      <c r="H264" s="254" t="str">
        <f t="shared" si="32"/>
        <v>-</v>
      </c>
      <c r="I264" s="254" t="str">
        <f t="shared" si="32"/>
        <v>-</v>
      </c>
      <c r="J264" s="254" t="str">
        <f t="shared" si="32"/>
        <v>-</v>
      </c>
      <c r="K264" s="254" t="str">
        <f t="shared" si="32"/>
        <v>-</v>
      </c>
      <c r="L264" s="254" t="str">
        <f t="shared" si="32"/>
        <v>-</v>
      </c>
      <c r="M264" s="254" t="str">
        <f t="shared" si="32"/>
        <v>-</v>
      </c>
      <c r="N264" s="255"/>
    </row>
    <row r="265" spans="1:14" s="256" customFormat="1" hidden="1" outlineLevel="2">
      <c r="A265" s="178"/>
      <c r="B265" s="257" t="s">
        <v>191</v>
      </c>
      <c r="C265" s="253" t="s">
        <v>172</v>
      </c>
      <c r="D265" s="173">
        <v>-2</v>
      </c>
      <c r="E265" s="252">
        <f>1.75+0.8</f>
        <v>2.5499999999999998</v>
      </c>
      <c r="F265" s="252"/>
      <c r="G265" s="254" t="str">
        <f t="shared" si="32"/>
        <v>-</v>
      </c>
      <c r="H265" s="254" t="str">
        <f t="shared" si="32"/>
        <v>-</v>
      </c>
      <c r="I265" s="254" t="str">
        <f t="shared" si="32"/>
        <v>-</v>
      </c>
      <c r="J265" s="254" t="str">
        <f t="shared" si="32"/>
        <v>-</v>
      </c>
      <c r="K265" s="254" t="str">
        <f t="shared" si="32"/>
        <v>-</v>
      </c>
      <c r="L265" s="254" t="str">
        <f t="shared" si="32"/>
        <v>-</v>
      </c>
      <c r="M265" s="254" t="str">
        <f t="shared" si="32"/>
        <v>-</v>
      </c>
      <c r="N265" s="255"/>
    </row>
    <row r="266" spans="1:14" s="256" customFormat="1" hidden="1" outlineLevel="2">
      <c r="A266" s="178"/>
      <c r="B266" s="257" t="s">
        <v>195</v>
      </c>
      <c r="C266" s="253" t="s">
        <v>172</v>
      </c>
      <c r="D266" s="173">
        <v>-1</v>
      </c>
      <c r="E266" s="252">
        <v>3.6</v>
      </c>
      <c r="F266" s="252"/>
      <c r="G266" s="254" t="str">
        <f t="shared" si="32"/>
        <v>-</v>
      </c>
      <c r="H266" s="254" t="str">
        <f t="shared" si="32"/>
        <v>-</v>
      </c>
      <c r="I266" s="254" t="str">
        <f t="shared" si="32"/>
        <v>-</v>
      </c>
      <c r="J266" s="254" t="str">
        <f t="shared" si="32"/>
        <v>-</v>
      </c>
      <c r="K266" s="254" t="str">
        <f t="shared" si="32"/>
        <v>-</v>
      </c>
      <c r="L266" s="254" t="str">
        <f t="shared" si="32"/>
        <v>-</v>
      </c>
      <c r="M266" s="254" t="str">
        <f t="shared" si="32"/>
        <v>-</v>
      </c>
      <c r="N266" s="255"/>
    </row>
    <row r="267" spans="1:14" s="256" customFormat="1" hidden="1" outlineLevel="2">
      <c r="A267" s="178"/>
      <c r="B267" s="252" t="s">
        <v>196</v>
      </c>
      <c r="C267" s="253" t="s">
        <v>173</v>
      </c>
      <c r="D267" s="173">
        <v>1</v>
      </c>
      <c r="E267" s="252">
        <v>3.7</v>
      </c>
      <c r="F267" s="252"/>
      <c r="G267" s="254" t="str">
        <f t="shared" si="32"/>
        <v>-</v>
      </c>
      <c r="H267" s="254" t="str">
        <f t="shared" si="32"/>
        <v>-</v>
      </c>
      <c r="I267" s="254">
        <f t="shared" ref="I267:M267" si="34">IF($C267=I$5,PRODUCT($D267:$F267),"-")</f>
        <v>3.7</v>
      </c>
      <c r="J267" s="254" t="str">
        <f t="shared" si="34"/>
        <v>-</v>
      </c>
      <c r="K267" s="254" t="str">
        <f t="shared" si="34"/>
        <v>-</v>
      </c>
      <c r="L267" s="254" t="str">
        <f t="shared" si="34"/>
        <v>-</v>
      </c>
      <c r="M267" s="254" t="str">
        <f t="shared" si="34"/>
        <v>-</v>
      </c>
      <c r="N267" s="255"/>
    </row>
    <row r="268" spans="1:14" s="256" customFormat="1" hidden="1" outlineLevel="2">
      <c r="A268" s="178"/>
      <c r="B268" s="252" t="s">
        <v>198</v>
      </c>
      <c r="C268" s="253" t="s">
        <v>174</v>
      </c>
      <c r="D268" s="173">
        <v>1</v>
      </c>
      <c r="E268" s="252">
        <v>9.6</v>
      </c>
      <c r="F268" s="252">
        <v>2.2999999999999998</v>
      </c>
      <c r="G268" s="254" t="str">
        <f t="shared" ref="G268:M277" si="35">IF($C268=G$5,PRODUCT($D268:$F268),"-")</f>
        <v>-</v>
      </c>
      <c r="H268" s="254" t="str">
        <f t="shared" si="35"/>
        <v>-</v>
      </c>
      <c r="I268" s="254" t="str">
        <f t="shared" si="35"/>
        <v>-</v>
      </c>
      <c r="J268" s="254" t="str">
        <f t="shared" si="35"/>
        <v>-</v>
      </c>
      <c r="K268" s="254" t="str">
        <f t="shared" si="35"/>
        <v>-</v>
      </c>
      <c r="L268" s="254" t="str">
        <f t="shared" si="35"/>
        <v>-</v>
      </c>
      <c r="M268" s="254" t="str">
        <f t="shared" si="35"/>
        <v>-</v>
      </c>
      <c r="N268" s="255"/>
    </row>
    <row r="269" spans="1:14" s="256" customFormat="1" hidden="1" outlineLevel="2">
      <c r="A269" s="178"/>
      <c r="B269" s="257" t="s">
        <v>212</v>
      </c>
      <c r="C269" s="253" t="s">
        <v>174</v>
      </c>
      <c r="D269" s="173">
        <v>-1</v>
      </c>
      <c r="E269" s="252">
        <v>0.8</v>
      </c>
      <c r="F269" s="252">
        <v>2.2200000000000002</v>
      </c>
      <c r="G269" s="254" t="str">
        <f t="shared" si="35"/>
        <v>-</v>
      </c>
      <c r="H269" s="254" t="str">
        <f t="shared" si="35"/>
        <v>-</v>
      </c>
      <c r="I269" s="254" t="str">
        <f t="shared" si="35"/>
        <v>-</v>
      </c>
      <c r="J269" s="254" t="str">
        <f t="shared" si="35"/>
        <v>-</v>
      </c>
      <c r="K269" s="254" t="str">
        <f t="shared" si="35"/>
        <v>-</v>
      </c>
      <c r="L269" s="254" t="str">
        <f t="shared" si="35"/>
        <v>-</v>
      </c>
      <c r="M269" s="254" t="str">
        <f t="shared" si="35"/>
        <v>-</v>
      </c>
      <c r="N269" s="255"/>
    </row>
    <row r="270" spans="1:14" s="256" customFormat="1" hidden="1" outlineLevel="2">
      <c r="A270" s="178"/>
      <c r="B270" s="257" t="s">
        <v>199</v>
      </c>
      <c r="C270" s="253" t="s">
        <v>174</v>
      </c>
      <c r="D270" s="173">
        <v>-1</v>
      </c>
      <c r="E270" s="252">
        <v>1.55</v>
      </c>
      <c r="F270" s="252">
        <v>1.7</v>
      </c>
      <c r="G270" s="254" t="str">
        <f t="shared" si="35"/>
        <v>-</v>
      </c>
      <c r="H270" s="254" t="str">
        <f t="shared" si="35"/>
        <v>-</v>
      </c>
      <c r="I270" s="254" t="str">
        <f t="shared" si="35"/>
        <v>-</v>
      </c>
      <c r="J270" s="254" t="str">
        <f t="shared" si="35"/>
        <v>-</v>
      </c>
      <c r="K270" s="254" t="str">
        <f t="shared" si="35"/>
        <v>-</v>
      </c>
      <c r="L270" s="254" t="str">
        <f t="shared" si="35"/>
        <v>-</v>
      </c>
      <c r="M270" s="254" t="str">
        <f t="shared" si="35"/>
        <v>-</v>
      </c>
      <c r="N270" s="255"/>
    </row>
    <row r="271" spans="1:14" s="256" customFormat="1" hidden="1" outlineLevel="2">
      <c r="A271" s="178"/>
      <c r="B271" s="257" t="s">
        <v>200</v>
      </c>
      <c r="C271" s="253" t="s">
        <v>174</v>
      </c>
      <c r="D271" s="173">
        <v>-2</v>
      </c>
      <c r="E271" s="252">
        <v>0.95</v>
      </c>
      <c r="F271" s="252">
        <v>0.55000000000000004</v>
      </c>
      <c r="G271" s="254" t="str">
        <f t="shared" si="35"/>
        <v>-</v>
      </c>
      <c r="H271" s="254" t="str">
        <f t="shared" si="35"/>
        <v>-</v>
      </c>
      <c r="I271" s="254" t="str">
        <f t="shared" si="35"/>
        <v>-</v>
      </c>
      <c r="J271" s="254" t="str">
        <f t="shared" si="35"/>
        <v>-</v>
      </c>
      <c r="K271" s="254" t="str">
        <f t="shared" si="35"/>
        <v>-</v>
      </c>
      <c r="L271" s="254" t="str">
        <f t="shared" si="35"/>
        <v>-</v>
      </c>
      <c r="M271" s="254" t="str">
        <f t="shared" si="35"/>
        <v>-</v>
      </c>
      <c r="N271" s="255"/>
    </row>
    <row r="272" spans="1:14" s="256" customFormat="1" hidden="1" outlineLevel="2">
      <c r="A272" s="178"/>
      <c r="B272" s="258" t="s">
        <v>201</v>
      </c>
      <c r="C272" s="253" t="s">
        <v>174</v>
      </c>
      <c r="D272" s="173">
        <v>1</v>
      </c>
      <c r="E272" s="252">
        <v>1.9</v>
      </c>
      <c r="F272" s="252">
        <v>0.25</v>
      </c>
      <c r="G272" s="254" t="str">
        <f t="shared" si="35"/>
        <v>-</v>
      </c>
      <c r="H272" s="254" t="str">
        <f t="shared" si="35"/>
        <v>-</v>
      </c>
      <c r="I272" s="254" t="str">
        <f t="shared" si="35"/>
        <v>-</v>
      </c>
      <c r="J272" s="254" t="str">
        <f t="shared" si="35"/>
        <v>-</v>
      </c>
      <c r="K272" s="254" t="str">
        <f t="shared" si="35"/>
        <v>-</v>
      </c>
      <c r="L272" s="254" t="str">
        <f t="shared" si="35"/>
        <v>-</v>
      </c>
      <c r="M272" s="254" t="str">
        <f t="shared" si="35"/>
        <v>-</v>
      </c>
      <c r="N272" s="255"/>
    </row>
    <row r="273" spans="1:14" s="256" customFormat="1" hidden="1" outlineLevel="2">
      <c r="A273" s="178"/>
      <c r="B273" s="252" t="s">
        <v>202</v>
      </c>
      <c r="C273" s="253" t="s">
        <v>176</v>
      </c>
      <c r="D273" s="173"/>
      <c r="E273" s="252">
        <v>1.85</v>
      </c>
      <c r="F273" s="252">
        <v>0.95</v>
      </c>
      <c r="G273" s="254" t="str">
        <f t="shared" si="35"/>
        <v>-</v>
      </c>
      <c r="H273" s="254" t="str">
        <f t="shared" si="35"/>
        <v>-</v>
      </c>
      <c r="I273" s="254" t="str">
        <f t="shared" si="35"/>
        <v>-</v>
      </c>
      <c r="J273" s="254" t="str">
        <f t="shared" si="35"/>
        <v>-</v>
      </c>
      <c r="K273" s="254" t="str">
        <f t="shared" si="35"/>
        <v>-</v>
      </c>
      <c r="L273" s="254" t="str">
        <f t="shared" si="35"/>
        <v>-</v>
      </c>
      <c r="M273" s="254" t="str">
        <f t="shared" si="35"/>
        <v>-</v>
      </c>
      <c r="N273" s="255"/>
    </row>
    <row r="274" spans="1:14" s="256" customFormat="1" hidden="1" outlineLevel="2">
      <c r="A274" s="178"/>
      <c r="B274" s="257" t="s">
        <v>203</v>
      </c>
      <c r="C274" s="253" t="s">
        <v>176</v>
      </c>
      <c r="D274" s="173">
        <v>-1</v>
      </c>
      <c r="E274" s="252">
        <v>1.7</v>
      </c>
      <c r="F274" s="252">
        <v>0.7</v>
      </c>
      <c r="G274" s="254" t="str">
        <f t="shared" si="35"/>
        <v>-</v>
      </c>
      <c r="H274" s="254" t="str">
        <f t="shared" si="35"/>
        <v>-</v>
      </c>
      <c r="I274" s="254" t="str">
        <f t="shared" si="35"/>
        <v>-</v>
      </c>
      <c r="J274" s="254" t="str">
        <f t="shared" si="35"/>
        <v>-</v>
      </c>
      <c r="K274" s="254" t="str">
        <f t="shared" si="35"/>
        <v>-</v>
      </c>
      <c r="L274" s="254" t="str">
        <f t="shared" si="35"/>
        <v>-</v>
      </c>
      <c r="M274" s="254" t="str">
        <f t="shared" si="35"/>
        <v>-</v>
      </c>
      <c r="N274" s="255"/>
    </row>
    <row r="275" spans="1:14" s="256" customFormat="1" hidden="1" outlineLevel="2">
      <c r="A275" s="178"/>
      <c r="B275" s="252" t="s">
        <v>204</v>
      </c>
      <c r="C275" s="253" t="s">
        <v>177</v>
      </c>
      <c r="D275" s="173">
        <v>1</v>
      </c>
      <c r="E275" s="252"/>
      <c r="F275" s="252"/>
      <c r="G275" s="254" t="str">
        <f t="shared" si="35"/>
        <v>-</v>
      </c>
      <c r="H275" s="254" t="str">
        <f t="shared" si="35"/>
        <v>-</v>
      </c>
      <c r="I275" s="254" t="str">
        <f t="shared" si="35"/>
        <v>-</v>
      </c>
      <c r="J275" s="254" t="str">
        <f t="shared" si="35"/>
        <v>-</v>
      </c>
      <c r="K275" s="254">
        <f t="shared" si="35"/>
        <v>1</v>
      </c>
      <c r="L275" s="254" t="str">
        <f t="shared" si="35"/>
        <v>-</v>
      </c>
      <c r="M275" s="254" t="str">
        <f t="shared" si="35"/>
        <v>-</v>
      </c>
      <c r="N275" s="255"/>
    </row>
    <row r="276" spans="1:14" s="256" customFormat="1" hidden="1" outlineLevel="2">
      <c r="A276" s="178"/>
      <c r="B276" s="252" t="s">
        <v>205</v>
      </c>
      <c r="C276" s="253" t="s">
        <v>178</v>
      </c>
      <c r="D276" s="173">
        <v>1</v>
      </c>
      <c r="E276" s="252"/>
      <c r="F276" s="252"/>
      <c r="G276" s="254" t="str">
        <f t="shared" si="35"/>
        <v>-</v>
      </c>
      <c r="H276" s="254" t="str">
        <f t="shared" si="35"/>
        <v>-</v>
      </c>
      <c r="I276" s="254" t="str">
        <f t="shared" si="35"/>
        <v>-</v>
      </c>
      <c r="J276" s="254" t="str">
        <f t="shared" si="35"/>
        <v>-</v>
      </c>
      <c r="K276" s="254" t="str">
        <f t="shared" si="35"/>
        <v>-</v>
      </c>
      <c r="L276" s="254">
        <f t="shared" si="35"/>
        <v>1</v>
      </c>
      <c r="M276" s="254" t="str">
        <f t="shared" si="35"/>
        <v>-</v>
      </c>
      <c r="N276" s="255"/>
    </row>
    <row r="277" spans="1:14" s="256" customFormat="1" hidden="1" outlineLevel="2">
      <c r="A277" s="259"/>
      <c r="B277" s="252"/>
      <c r="C277" s="253"/>
      <c r="D277" s="173"/>
      <c r="E277" s="252"/>
      <c r="F277" s="252"/>
      <c r="G277" s="254" t="str">
        <f t="shared" si="35"/>
        <v>-</v>
      </c>
      <c r="H277" s="254" t="str">
        <f t="shared" si="35"/>
        <v>-</v>
      </c>
      <c r="I277" s="254" t="str">
        <f t="shared" si="35"/>
        <v>-</v>
      </c>
      <c r="J277" s="254" t="str">
        <f t="shared" si="35"/>
        <v>-</v>
      </c>
      <c r="K277" s="254" t="str">
        <f t="shared" si="35"/>
        <v>-</v>
      </c>
      <c r="L277" s="254" t="str">
        <f t="shared" si="35"/>
        <v>-</v>
      </c>
      <c r="M277" s="254" t="str">
        <f t="shared" si="35"/>
        <v>-</v>
      </c>
      <c r="N277" s="255"/>
    </row>
    <row r="278" spans="1:14" s="236" customFormat="1" ht="15" hidden="1" outlineLevel="1">
      <c r="A278" s="260"/>
      <c r="B278" s="261" t="s">
        <v>226</v>
      </c>
      <c r="C278" s="260"/>
      <c r="D278" s="262" t="s">
        <v>217</v>
      </c>
      <c r="E278" s="263"/>
      <c r="F278" s="263"/>
      <c r="G278" s="264">
        <f t="shared" ref="G278:M278" si="36">SUM(G$217,G$238,G$258)</f>
        <v>106.69999999999999</v>
      </c>
      <c r="H278" s="264">
        <f t="shared" si="36"/>
        <v>16.399999999999999</v>
      </c>
      <c r="I278" s="264">
        <f t="shared" si="36"/>
        <v>15.399999999999999</v>
      </c>
      <c r="J278" s="264">
        <f t="shared" si="36"/>
        <v>0</v>
      </c>
      <c r="K278" s="264">
        <f t="shared" si="36"/>
        <v>4</v>
      </c>
      <c r="L278" s="264">
        <f t="shared" si="36"/>
        <v>3</v>
      </c>
      <c r="M278" s="264">
        <f t="shared" si="36"/>
        <v>0</v>
      </c>
      <c r="N278" s="265" t="s">
        <v>227</v>
      </c>
    </row>
    <row r="279" spans="1:14" s="236" customFormat="1" ht="15" hidden="1" outlineLevel="1">
      <c r="A279" s="260"/>
      <c r="B279" s="261" t="s">
        <v>228</v>
      </c>
      <c r="C279" s="260"/>
      <c r="D279" s="262" t="s">
        <v>229</v>
      </c>
      <c r="E279" s="263"/>
      <c r="F279" s="263"/>
      <c r="G279" s="264">
        <f t="shared" ref="G279:M279" si="37">SUM(G$173,G$194)</f>
        <v>72</v>
      </c>
      <c r="H279" s="264">
        <f t="shared" si="37"/>
        <v>12.4</v>
      </c>
      <c r="I279" s="264">
        <f t="shared" si="37"/>
        <v>22.48</v>
      </c>
      <c r="J279" s="264">
        <f t="shared" si="37"/>
        <v>0.72</v>
      </c>
      <c r="K279" s="264">
        <f t="shared" si="37"/>
        <v>2</v>
      </c>
      <c r="L279" s="264">
        <f t="shared" si="37"/>
        <v>4</v>
      </c>
      <c r="M279" s="264">
        <f t="shared" si="37"/>
        <v>1</v>
      </c>
      <c r="N279" s="265" t="s">
        <v>230</v>
      </c>
    </row>
    <row r="280" spans="1:14" s="236" customFormat="1" ht="15" hidden="1" outlineLevel="1">
      <c r="A280" s="260"/>
      <c r="B280" s="261" t="s">
        <v>231</v>
      </c>
      <c r="C280" s="260"/>
      <c r="D280" s="262" t="s">
        <v>232</v>
      </c>
      <c r="E280" s="263"/>
      <c r="F280" s="263"/>
      <c r="G280" s="264">
        <f>G172*2</f>
        <v>163.80000000000001</v>
      </c>
      <c r="H280" s="264">
        <f t="shared" ref="H280:M280" si="38">H172*2</f>
        <v>54.4</v>
      </c>
      <c r="I280" s="264">
        <f t="shared" si="38"/>
        <v>33.72</v>
      </c>
      <c r="J280" s="264">
        <f t="shared" si="38"/>
        <v>2.16</v>
      </c>
      <c r="K280" s="264">
        <f t="shared" si="38"/>
        <v>8</v>
      </c>
      <c r="L280" s="264">
        <f t="shared" si="38"/>
        <v>8</v>
      </c>
      <c r="M280" s="264">
        <f t="shared" si="38"/>
        <v>0</v>
      </c>
      <c r="N280" s="265" t="s">
        <v>233</v>
      </c>
    </row>
    <row r="281" spans="1:14" s="256" customFormat="1" hidden="1" outlineLevel="1">
      <c r="A281" s="260"/>
      <c r="B281" s="261" t="s">
        <v>234</v>
      </c>
      <c r="C281" s="260"/>
      <c r="D281" s="262">
        <v>1</v>
      </c>
      <c r="E281" s="263"/>
      <c r="F281" s="263"/>
      <c r="G281" s="264">
        <f>G95</f>
        <v>23.3</v>
      </c>
      <c r="H281" s="264">
        <f t="shared" ref="H281:M281" si="39">H95</f>
        <v>4.4000000000000004</v>
      </c>
      <c r="I281" s="264">
        <f t="shared" si="39"/>
        <v>2.6</v>
      </c>
      <c r="J281" s="264">
        <f t="shared" si="39"/>
        <v>0</v>
      </c>
      <c r="K281" s="264">
        <f t="shared" si="39"/>
        <v>1</v>
      </c>
      <c r="L281" s="264">
        <f t="shared" si="39"/>
        <v>1</v>
      </c>
      <c r="M281" s="264">
        <f t="shared" si="39"/>
        <v>0</v>
      </c>
      <c r="N281" s="265" t="s">
        <v>235</v>
      </c>
    </row>
    <row r="282" spans="1:14" s="256" customFormat="1" hidden="1" outlineLevel="1">
      <c r="A282" s="260"/>
      <c r="B282" s="261" t="s">
        <v>236</v>
      </c>
      <c r="C282" s="260"/>
      <c r="D282" s="262">
        <v>1</v>
      </c>
      <c r="E282" s="263"/>
      <c r="F282" s="263"/>
      <c r="G282" s="264">
        <f>G74</f>
        <v>20.2</v>
      </c>
      <c r="H282" s="264">
        <f t="shared" ref="H282:M282" si="40">H74</f>
        <v>6.3</v>
      </c>
      <c r="I282" s="264">
        <f t="shared" si="40"/>
        <v>4.04</v>
      </c>
      <c r="J282" s="264">
        <f t="shared" si="40"/>
        <v>0.36</v>
      </c>
      <c r="K282" s="264">
        <f t="shared" si="40"/>
        <v>1</v>
      </c>
      <c r="L282" s="264">
        <f t="shared" si="40"/>
        <v>1</v>
      </c>
      <c r="M282" s="264">
        <f t="shared" si="40"/>
        <v>0</v>
      </c>
      <c r="N282" s="265" t="s">
        <v>237</v>
      </c>
    </row>
    <row r="283" spans="1:14" s="256" customFormat="1" hidden="1" outlineLevel="1">
      <c r="A283" s="260"/>
      <c r="B283" s="261" t="s">
        <v>238</v>
      </c>
      <c r="C283" s="260"/>
      <c r="D283" s="262">
        <v>1</v>
      </c>
      <c r="E283" s="263"/>
      <c r="F283" s="263"/>
      <c r="G283" s="264">
        <f>G53</f>
        <v>20.2</v>
      </c>
      <c r="H283" s="264">
        <f t="shared" ref="H283:M283" si="41">H53</f>
        <v>5.9</v>
      </c>
      <c r="I283" s="264">
        <f t="shared" si="41"/>
        <v>21.6</v>
      </c>
      <c r="J283" s="264">
        <f t="shared" si="41"/>
        <v>0.36</v>
      </c>
      <c r="K283" s="264">
        <f t="shared" si="41"/>
        <v>1</v>
      </c>
      <c r="L283" s="264">
        <f t="shared" si="41"/>
        <v>1</v>
      </c>
      <c r="M283" s="264">
        <f t="shared" si="41"/>
        <v>0</v>
      </c>
      <c r="N283" s="265" t="s">
        <v>239</v>
      </c>
    </row>
    <row r="284" spans="1:14" s="251" customFormat="1" ht="15" hidden="1" outlineLevel="1" collapsed="1">
      <c r="A284" s="245"/>
      <c r="B284" s="246" t="s">
        <v>240</v>
      </c>
      <c r="C284" s="245"/>
      <c r="D284" s="247">
        <v>1</v>
      </c>
      <c r="E284" s="248"/>
      <c r="F284" s="248"/>
      <c r="G284" s="249">
        <f>SUBTOTAL(9,G285:G301)</f>
        <v>37.799999999999997</v>
      </c>
      <c r="H284" s="249">
        <f t="shared" ref="H284:M284" si="42">SUBTOTAL(9,H285:H301)</f>
        <v>0</v>
      </c>
      <c r="I284" s="249">
        <f t="shared" si="42"/>
        <v>7.5</v>
      </c>
      <c r="J284" s="249">
        <f t="shared" si="42"/>
        <v>0.36</v>
      </c>
      <c r="K284" s="249">
        <f t="shared" si="42"/>
        <v>2</v>
      </c>
      <c r="L284" s="249">
        <f t="shared" si="42"/>
        <v>1</v>
      </c>
      <c r="M284" s="249">
        <f t="shared" si="42"/>
        <v>0</v>
      </c>
      <c r="N284" s="250"/>
    </row>
    <row r="285" spans="1:14" s="256" customFormat="1" hidden="1" outlineLevel="2">
      <c r="A285" s="178"/>
      <c r="B285" s="252" t="s">
        <v>189</v>
      </c>
      <c r="C285" s="253" t="s">
        <v>169</v>
      </c>
      <c r="D285" s="173">
        <v>1</v>
      </c>
      <c r="E285" s="252">
        <v>37.799999999999997</v>
      </c>
      <c r="F285" s="252"/>
      <c r="G285" s="254">
        <f t="shared" ref="G285:M309" si="43">IF($C285=G$5,PRODUCT($D285:$F285),"-")</f>
        <v>37.799999999999997</v>
      </c>
      <c r="H285" s="254" t="str">
        <f t="shared" si="43"/>
        <v>-</v>
      </c>
      <c r="I285" s="254" t="str">
        <f t="shared" si="43"/>
        <v>-</v>
      </c>
      <c r="J285" s="254" t="str">
        <f t="shared" si="43"/>
        <v>-</v>
      </c>
      <c r="K285" s="254" t="str">
        <f t="shared" si="43"/>
        <v>-</v>
      </c>
      <c r="L285" s="254" t="str">
        <f t="shared" si="43"/>
        <v>-</v>
      </c>
      <c r="M285" s="254" t="str">
        <f t="shared" si="43"/>
        <v>-</v>
      </c>
      <c r="N285" s="255"/>
    </row>
    <row r="286" spans="1:14" s="256" customFormat="1" hidden="1" outlineLevel="2">
      <c r="A286" s="178"/>
      <c r="B286" s="252" t="s">
        <v>190</v>
      </c>
      <c r="C286" s="253" t="s">
        <v>170</v>
      </c>
      <c r="D286" s="173">
        <v>1</v>
      </c>
      <c r="E286" s="252">
        <v>39.6</v>
      </c>
      <c r="F286" s="252"/>
      <c r="G286" s="254" t="str">
        <f t="shared" si="43"/>
        <v>-</v>
      </c>
      <c r="H286" s="254" t="str">
        <f t="shared" si="43"/>
        <v>-</v>
      </c>
      <c r="I286" s="254" t="str">
        <f t="shared" si="43"/>
        <v>-</v>
      </c>
      <c r="J286" s="254" t="str">
        <f t="shared" si="43"/>
        <v>-</v>
      </c>
      <c r="K286" s="254" t="str">
        <f t="shared" si="43"/>
        <v>-</v>
      </c>
      <c r="L286" s="254" t="str">
        <f t="shared" si="43"/>
        <v>-</v>
      </c>
      <c r="M286" s="254" t="str">
        <f t="shared" si="43"/>
        <v>-</v>
      </c>
      <c r="N286" s="255"/>
    </row>
    <row r="287" spans="1:14" s="256" customFormat="1" hidden="1" outlineLevel="2">
      <c r="A287" s="178"/>
      <c r="B287" s="257" t="s">
        <v>191</v>
      </c>
      <c r="C287" s="253" t="s">
        <v>170</v>
      </c>
      <c r="D287" s="173">
        <v>-3</v>
      </c>
      <c r="E287" s="252">
        <v>0.8</v>
      </c>
      <c r="F287" s="252"/>
      <c r="G287" s="254" t="str">
        <f t="shared" si="43"/>
        <v>-</v>
      </c>
      <c r="H287" s="254" t="str">
        <f t="shared" si="43"/>
        <v>-</v>
      </c>
      <c r="I287" s="254" t="str">
        <f t="shared" si="43"/>
        <v>-</v>
      </c>
      <c r="J287" s="254" t="str">
        <f t="shared" si="43"/>
        <v>-</v>
      </c>
      <c r="K287" s="254" t="str">
        <f t="shared" si="43"/>
        <v>-</v>
      </c>
      <c r="L287" s="254" t="str">
        <f t="shared" si="43"/>
        <v>-</v>
      </c>
      <c r="M287" s="254" t="str">
        <f t="shared" si="43"/>
        <v>-</v>
      </c>
      <c r="N287" s="255"/>
    </row>
    <row r="288" spans="1:14" s="256" customFormat="1" hidden="1" outlineLevel="2">
      <c r="A288" s="178"/>
      <c r="B288" s="257" t="s">
        <v>192</v>
      </c>
      <c r="C288" s="253" t="s">
        <v>170</v>
      </c>
      <c r="D288" s="173">
        <v>-2</v>
      </c>
      <c r="E288" s="252">
        <v>3.6</v>
      </c>
      <c r="F288" s="252"/>
      <c r="G288" s="254" t="str">
        <f t="shared" si="43"/>
        <v>-</v>
      </c>
      <c r="H288" s="254" t="str">
        <f t="shared" si="43"/>
        <v>-</v>
      </c>
      <c r="I288" s="254" t="str">
        <f t="shared" si="43"/>
        <v>-</v>
      </c>
      <c r="J288" s="254" t="str">
        <f t="shared" si="43"/>
        <v>-</v>
      </c>
      <c r="K288" s="254" t="str">
        <f t="shared" si="43"/>
        <v>-</v>
      </c>
      <c r="L288" s="254" t="str">
        <f t="shared" si="43"/>
        <v>-</v>
      </c>
      <c r="M288" s="254" t="str">
        <f t="shared" si="43"/>
        <v>-</v>
      </c>
      <c r="N288" s="255"/>
    </row>
    <row r="289" spans="1:14" s="256" customFormat="1" hidden="1" outlineLevel="2">
      <c r="A289" s="178"/>
      <c r="B289" s="257" t="s">
        <v>195</v>
      </c>
      <c r="C289" s="253" t="s">
        <v>170</v>
      </c>
      <c r="D289" s="173">
        <v>-1</v>
      </c>
      <c r="E289" s="252">
        <v>1.2</v>
      </c>
      <c r="F289" s="252"/>
      <c r="G289" s="254" t="str">
        <f t="shared" si="43"/>
        <v>-</v>
      </c>
      <c r="H289" s="254" t="str">
        <f t="shared" si="43"/>
        <v>-</v>
      </c>
      <c r="I289" s="254" t="str">
        <f t="shared" si="43"/>
        <v>-</v>
      </c>
      <c r="J289" s="254" t="str">
        <f t="shared" si="43"/>
        <v>-</v>
      </c>
      <c r="K289" s="254" t="str">
        <f t="shared" si="43"/>
        <v>-</v>
      </c>
      <c r="L289" s="254" t="str">
        <f t="shared" si="43"/>
        <v>-</v>
      </c>
      <c r="M289" s="254" t="str">
        <f t="shared" si="43"/>
        <v>-</v>
      </c>
      <c r="N289" s="255"/>
    </row>
    <row r="290" spans="1:14" s="256" customFormat="1" hidden="1" outlineLevel="2">
      <c r="A290" s="178"/>
      <c r="B290" s="252" t="s">
        <v>196</v>
      </c>
      <c r="C290" s="253" t="s">
        <v>173</v>
      </c>
      <c r="D290" s="173">
        <v>1</v>
      </c>
      <c r="E290" s="252">
        <v>7.5</v>
      </c>
      <c r="F290" s="252"/>
      <c r="G290" s="254" t="str">
        <f t="shared" si="43"/>
        <v>-</v>
      </c>
      <c r="H290" s="254" t="str">
        <f t="shared" si="43"/>
        <v>-</v>
      </c>
      <c r="I290" s="254">
        <f t="shared" si="43"/>
        <v>7.5</v>
      </c>
      <c r="J290" s="254" t="str">
        <f t="shared" si="43"/>
        <v>-</v>
      </c>
      <c r="K290" s="254" t="str">
        <f t="shared" si="43"/>
        <v>-</v>
      </c>
      <c r="L290" s="254" t="str">
        <f t="shared" si="43"/>
        <v>-</v>
      </c>
      <c r="M290" s="254" t="str">
        <f t="shared" si="43"/>
        <v>-</v>
      </c>
      <c r="N290" s="255"/>
    </row>
    <row r="291" spans="1:14" s="256" customFormat="1" hidden="1" outlineLevel="2">
      <c r="A291" s="178"/>
      <c r="B291" s="252" t="s">
        <v>197</v>
      </c>
      <c r="C291" s="253" t="s">
        <v>175</v>
      </c>
      <c r="D291" s="173">
        <v>1</v>
      </c>
      <c r="E291" s="252">
        <f>0.3*0.6*2</f>
        <v>0.36</v>
      </c>
      <c r="F291" s="252"/>
      <c r="G291" s="254" t="str">
        <f t="shared" si="43"/>
        <v>-</v>
      </c>
      <c r="H291" s="254" t="str">
        <f t="shared" si="43"/>
        <v>-</v>
      </c>
      <c r="I291" s="254" t="str">
        <f t="shared" si="43"/>
        <v>-</v>
      </c>
      <c r="J291" s="254">
        <f t="shared" si="43"/>
        <v>0.36</v>
      </c>
      <c r="K291" s="254" t="str">
        <f t="shared" si="43"/>
        <v>-</v>
      </c>
      <c r="L291" s="254" t="str">
        <f t="shared" si="43"/>
        <v>-</v>
      </c>
      <c r="M291" s="254" t="str">
        <f t="shared" si="43"/>
        <v>-</v>
      </c>
      <c r="N291" s="255"/>
    </row>
    <row r="292" spans="1:14" s="256" customFormat="1" hidden="1" outlineLevel="2">
      <c r="A292" s="178"/>
      <c r="B292" s="252" t="s">
        <v>198</v>
      </c>
      <c r="C292" s="253" t="s">
        <v>174</v>
      </c>
      <c r="D292" s="173">
        <v>1</v>
      </c>
      <c r="E292" s="252">
        <v>17.100000000000001</v>
      </c>
      <c r="F292" s="252">
        <v>2.2999999999999998</v>
      </c>
      <c r="G292" s="254" t="str">
        <f t="shared" si="43"/>
        <v>-</v>
      </c>
      <c r="H292" s="254" t="str">
        <f t="shared" si="43"/>
        <v>-</v>
      </c>
      <c r="I292" s="254" t="str">
        <f t="shared" si="43"/>
        <v>-</v>
      </c>
      <c r="J292" s="254" t="str">
        <f t="shared" si="43"/>
        <v>-</v>
      </c>
      <c r="K292" s="254" t="str">
        <f t="shared" si="43"/>
        <v>-</v>
      </c>
      <c r="L292" s="254" t="str">
        <f t="shared" si="43"/>
        <v>-</v>
      </c>
      <c r="M292" s="254" t="str">
        <f t="shared" si="43"/>
        <v>-</v>
      </c>
      <c r="N292" s="255"/>
    </row>
    <row r="293" spans="1:14" s="256" customFormat="1" hidden="1" outlineLevel="2">
      <c r="A293" s="178"/>
      <c r="B293" s="257" t="s">
        <v>241</v>
      </c>
      <c r="C293" s="253" t="s">
        <v>174</v>
      </c>
      <c r="D293" s="173">
        <v>-1</v>
      </c>
      <c r="E293" s="252">
        <v>0.8</v>
      </c>
      <c r="F293" s="252">
        <v>2.2200000000000002</v>
      </c>
      <c r="G293" s="254" t="str">
        <f t="shared" si="43"/>
        <v>-</v>
      </c>
      <c r="H293" s="254" t="str">
        <f t="shared" si="43"/>
        <v>-</v>
      </c>
      <c r="I293" s="254" t="str">
        <f t="shared" si="43"/>
        <v>-</v>
      </c>
      <c r="J293" s="254" t="str">
        <f t="shared" si="43"/>
        <v>-</v>
      </c>
      <c r="K293" s="254" t="str">
        <f t="shared" si="43"/>
        <v>-</v>
      </c>
      <c r="L293" s="254" t="str">
        <f t="shared" si="43"/>
        <v>-</v>
      </c>
      <c r="M293" s="254" t="str">
        <f t="shared" si="43"/>
        <v>-</v>
      </c>
      <c r="N293" s="255"/>
    </row>
    <row r="294" spans="1:14" s="256" customFormat="1" hidden="1" outlineLevel="2">
      <c r="A294" s="178"/>
      <c r="B294" s="257" t="s">
        <v>242</v>
      </c>
      <c r="C294" s="253" t="s">
        <v>174</v>
      </c>
      <c r="D294" s="173">
        <v>-1</v>
      </c>
      <c r="E294" s="252">
        <f>5.3-2.3</f>
        <v>3</v>
      </c>
      <c r="F294" s="252">
        <v>0.55000000000000004</v>
      </c>
      <c r="G294" s="254" t="str">
        <f t="shared" si="43"/>
        <v>-</v>
      </c>
      <c r="H294" s="254" t="str">
        <f t="shared" si="43"/>
        <v>-</v>
      </c>
      <c r="I294" s="254" t="str">
        <f t="shared" si="43"/>
        <v>-</v>
      </c>
      <c r="J294" s="254" t="str">
        <f t="shared" si="43"/>
        <v>-</v>
      </c>
      <c r="K294" s="254" t="str">
        <f t="shared" si="43"/>
        <v>-</v>
      </c>
      <c r="L294" s="254" t="str">
        <f t="shared" si="43"/>
        <v>-</v>
      </c>
      <c r="M294" s="254" t="str">
        <f t="shared" si="43"/>
        <v>-</v>
      </c>
      <c r="N294" s="255"/>
    </row>
    <row r="295" spans="1:14" s="256" customFormat="1" hidden="1" outlineLevel="2">
      <c r="A295" s="178"/>
      <c r="B295" s="257" t="s">
        <v>243</v>
      </c>
      <c r="C295" s="253" t="s">
        <v>174</v>
      </c>
      <c r="D295" s="173">
        <v>-1</v>
      </c>
      <c r="E295" s="252">
        <f>2.17+1.27</f>
        <v>3.44</v>
      </c>
      <c r="F295" s="252">
        <v>1.6</v>
      </c>
      <c r="G295" s="254" t="str">
        <f t="shared" si="43"/>
        <v>-</v>
      </c>
      <c r="H295" s="254" t="str">
        <f t="shared" si="43"/>
        <v>-</v>
      </c>
      <c r="I295" s="254" t="str">
        <f t="shared" si="43"/>
        <v>-</v>
      </c>
      <c r="J295" s="254" t="str">
        <f t="shared" si="43"/>
        <v>-</v>
      </c>
      <c r="K295" s="254" t="str">
        <f t="shared" si="43"/>
        <v>-</v>
      </c>
      <c r="L295" s="254" t="str">
        <f t="shared" si="43"/>
        <v>-</v>
      </c>
      <c r="M295" s="254" t="str">
        <f t="shared" si="43"/>
        <v>-</v>
      </c>
      <c r="N295" s="255"/>
    </row>
    <row r="296" spans="1:14" s="256" customFormat="1" hidden="1" outlineLevel="2">
      <c r="A296" s="178"/>
      <c r="B296" s="258" t="s">
        <v>201</v>
      </c>
      <c r="C296" s="253" t="s">
        <v>174</v>
      </c>
      <c r="D296" s="173">
        <v>1</v>
      </c>
      <c r="E296" s="252">
        <v>4.4000000000000004</v>
      </c>
      <c r="F296" s="252">
        <v>0.25</v>
      </c>
      <c r="G296" s="254" t="str">
        <f t="shared" si="43"/>
        <v>-</v>
      </c>
      <c r="H296" s="254" t="str">
        <f t="shared" si="43"/>
        <v>-</v>
      </c>
      <c r="I296" s="254" t="str">
        <f t="shared" si="43"/>
        <v>-</v>
      </c>
      <c r="J296" s="254" t="str">
        <f t="shared" si="43"/>
        <v>-</v>
      </c>
      <c r="K296" s="254" t="str">
        <f t="shared" si="43"/>
        <v>-</v>
      </c>
      <c r="L296" s="254" t="str">
        <f t="shared" si="43"/>
        <v>-</v>
      </c>
      <c r="M296" s="254" t="str">
        <f t="shared" si="43"/>
        <v>-</v>
      </c>
      <c r="N296" s="255"/>
    </row>
    <row r="297" spans="1:14" s="256" customFormat="1" hidden="1" outlineLevel="2">
      <c r="A297" s="178"/>
      <c r="B297" s="252" t="s">
        <v>202</v>
      </c>
      <c r="C297" s="253" t="s">
        <v>176</v>
      </c>
      <c r="D297" s="173">
        <v>1</v>
      </c>
      <c r="E297" s="252">
        <v>2.15</v>
      </c>
      <c r="F297" s="252">
        <v>1.1499999999999999</v>
      </c>
      <c r="G297" s="254" t="str">
        <f t="shared" si="43"/>
        <v>-</v>
      </c>
      <c r="H297" s="254" t="str">
        <f t="shared" si="43"/>
        <v>-</v>
      </c>
      <c r="I297" s="254" t="str">
        <f t="shared" si="43"/>
        <v>-</v>
      </c>
      <c r="J297" s="254" t="str">
        <f t="shared" si="43"/>
        <v>-</v>
      </c>
      <c r="K297" s="254" t="str">
        <f t="shared" si="43"/>
        <v>-</v>
      </c>
      <c r="L297" s="254" t="str">
        <f t="shared" si="43"/>
        <v>-</v>
      </c>
      <c r="M297" s="254" t="str">
        <f t="shared" si="43"/>
        <v>-</v>
      </c>
      <c r="N297" s="255"/>
    </row>
    <row r="298" spans="1:14" s="256" customFormat="1" hidden="1" outlineLevel="2">
      <c r="A298" s="178"/>
      <c r="B298" s="257" t="s">
        <v>203</v>
      </c>
      <c r="C298" s="253" t="s">
        <v>176</v>
      </c>
      <c r="D298" s="173">
        <v>-1</v>
      </c>
      <c r="E298" s="252">
        <v>1.65</v>
      </c>
      <c r="F298" s="252">
        <v>0.7</v>
      </c>
      <c r="G298" s="254" t="str">
        <f t="shared" si="43"/>
        <v>-</v>
      </c>
      <c r="H298" s="254" t="str">
        <f t="shared" si="43"/>
        <v>-</v>
      </c>
      <c r="I298" s="254" t="str">
        <f t="shared" si="43"/>
        <v>-</v>
      </c>
      <c r="J298" s="254" t="str">
        <f t="shared" si="43"/>
        <v>-</v>
      </c>
      <c r="K298" s="254" t="str">
        <f t="shared" si="43"/>
        <v>-</v>
      </c>
      <c r="L298" s="254" t="str">
        <f t="shared" si="43"/>
        <v>-</v>
      </c>
      <c r="M298" s="254" t="str">
        <f t="shared" si="43"/>
        <v>-</v>
      </c>
      <c r="N298" s="255"/>
    </row>
    <row r="299" spans="1:14" s="256" customFormat="1" hidden="1" outlineLevel="2">
      <c r="A299" s="178"/>
      <c r="B299" s="252" t="s">
        <v>204</v>
      </c>
      <c r="C299" s="253" t="s">
        <v>177</v>
      </c>
      <c r="D299" s="173">
        <v>2</v>
      </c>
      <c r="E299" s="252"/>
      <c r="F299" s="252"/>
      <c r="G299" s="254" t="str">
        <f t="shared" si="43"/>
        <v>-</v>
      </c>
      <c r="H299" s="254" t="str">
        <f t="shared" si="43"/>
        <v>-</v>
      </c>
      <c r="I299" s="254" t="str">
        <f t="shared" si="43"/>
        <v>-</v>
      </c>
      <c r="J299" s="254" t="str">
        <f t="shared" si="43"/>
        <v>-</v>
      </c>
      <c r="K299" s="254">
        <f t="shared" si="43"/>
        <v>2</v>
      </c>
      <c r="L299" s="254" t="str">
        <f t="shared" si="43"/>
        <v>-</v>
      </c>
      <c r="M299" s="254" t="str">
        <f t="shared" si="43"/>
        <v>-</v>
      </c>
      <c r="N299" s="255"/>
    </row>
    <row r="300" spans="1:14" s="256" customFormat="1" hidden="1" outlineLevel="2">
      <c r="A300" s="178"/>
      <c r="B300" s="252" t="s">
        <v>205</v>
      </c>
      <c r="C300" s="253" t="s">
        <v>178</v>
      </c>
      <c r="D300" s="173">
        <v>1</v>
      </c>
      <c r="E300" s="252"/>
      <c r="F300" s="252"/>
      <c r="G300" s="254" t="str">
        <f t="shared" si="43"/>
        <v>-</v>
      </c>
      <c r="H300" s="254" t="str">
        <f t="shared" si="43"/>
        <v>-</v>
      </c>
      <c r="I300" s="254" t="str">
        <f t="shared" si="43"/>
        <v>-</v>
      </c>
      <c r="J300" s="254" t="str">
        <f t="shared" si="43"/>
        <v>-</v>
      </c>
      <c r="K300" s="254" t="str">
        <f t="shared" si="43"/>
        <v>-</v>
      </c>
      <c r="L300" s="254">
        <f t="shared" si="43"/>
        <v>1</v>
      </c>
      <c r="M300" s="254" t="str">
        <f t="shared" si="43"/>
        <v>-</v>
      </c>
      <c r="N300" s="255"/>
    </row>
    <row r="301" spans="1:14" s="256" customFormat="1" hidden="1" outlineLevel="2">
      <c r="A301" s="259"/>
      <c r="B301" s="252"/>
      <c r="C301" s="253"/>
      <c r="D301" s="173"/>
      <c r="E301" s="252"/>
      <c r="F301" s="252"/>
      <c r="G301" s="254" t="str">
        <f t="shared" si="43"/>
        <v>-</v>
      </c>
      <c r="H301" s="254" t="str">
        <f t="shared" si="43"/>
        <v>-</v>
      </c>
      <c r="I301" s="254" t="str">
        <f t="shared" si="43"/>
        <v>-</v>
      </c>
      <c r="J301" s="254" t="str">
        <f t="shared" si="43"/>
        <v>-</v>
      </c>
      <c r="K301" s="254" t="str">
        <f t="shared" si="43"/>
        <v>-</v>
      </c>
      <c r="L301" s="254" t="str">
        <f t="shared" si="43"/>
        <v>-</v>
      </c>
      <c r="M301" s="254" t="str">
        <f t="shared" si="43"/>
        <v>-</v>
      </c>
      <c r="N301" s="255"/>
    </row>
    <row r="302" spans="1:14" s="251" customFormat="1" ht="15" hidden="1" outlineLevel="1" collapsed="1">
      <c r="A302" s="245"/>
      <c r="B302" s="246" t="s">
        <v>244</v>
      </c>
      <c r="C302" s="245"/>
      <c r="D302" s="247">
        <v>1</v>
      </c>
      <c r="E302" s="248"/>
      <c r="F302" s="248"/>
      <c r="G302" s="249">
        <f>SUBTOTAL(9,G303:G316)</f>
        <v>33.700000000000003</v>
      </c>
      <c r="H302" s="249">
        <f t="shared" ref="H302:M302" si="44">SUBTOTAL(9,H303:H316)</f>
        <v>22.3</v>
      </c>
      <c r="I302" s="249">
        <f t="shared" si="44"/>
        <v>4</v>
      </c>
      <c r="J302" s="249">
        <f t="shared" si="44"/>
        <v>0</v>
      </c>
      <c r="K302" s="249">
        <f t="shared" si="44"/>
        <v>2</v>
      </c>
      <c r="L302" s="249">
        <f t="shared" si="44"/>
        <v>1</v>
      </c>
      <c r="M302" s="249">
        <f t="shared" si="44"/>
        <v>0</v>
      </c>
      <c r="N302" s="250"/>
    </row>
    <row r="303" spans="1:14" s="256" customFormat="1" hidden="1" outlineLevel="2">
      <c r="A303" s="178"/>
      <c r="B303" s="252" t="s">
        <v>189</v>
      </c>
      <c r="C303" s="253" t="s">
        <v>169</v>
      </c>
      <c r="D303" s="173">
        <v>1</v>
      </c>
      <c r="E303" s="252">
        <v>33.700000000000003</v>
      </c>
      <c r="F303" s="252"/>
      <c r="G303" s="254">
        <f t="shared" si="43"/>
        <v>33.700000000000003</v>
      </c>
      <c r="H303" s="254" t="str">
        <f t="shared" si="43"/>
        <v>-</v>
      </c>
      <c r="I303" s="254" t="str">
        <f t="shared" si="43"/>
        <v>-</v>
      </c>
      <c r="J303" s="254" t="str">
        <f t="shared" si="43"/>
        <v>-</v>
      </c>
      <c r="K303" s="254" t="str">
        <f t="shared" si="43"/>
        <v>-</v>
      </c>
      <c r="L303" s="254" t="str">
        <f t="shared" si="43"/>
        <v>-</v>
      </c>
      <c r="M303" s="254" t="str">
        <f t="shared" si="43"/>
        <v>-</v>
      </c>
      <c r="N303" s="255"/>
    </row>
    <row r="304" spans="1:14" s="256" customFormat="1" hidden="1" outlineLevel="2">
      <c r="A304" s="178"/>
      <c r="B304" s="252" t="s">
        <v>190</v>
      </c>
      <c r="C304" s="253" t="s">
        <v>170</v>
      </c>
      <c r="D304" s="173">
        <v>1</v>
      </c>
      <c r="E304" s="252">
        <v>26.6</v>
      </c>
      <c r="F304" s="252"/>
      <c r="G304" s="254" t="str">
        <f t="shared" si="43"/>
        <v>-</v>
      </c>
      <c r="H304" s="254" t="str">
        <f t="shared" si="43"/>
        <v>-</v>
      </c>
      <c r="I304" s="254" t="str">
        <f t="shared" si="43"/>
        <v>-</v>
      </c>
      <c r="J304" s="254" t="str">
        <f t="shared" si="43"/>
        <v>-</v>
      </c>
      <c r="K304" s="254" t="str">
        <f t="shared" si="43"/>
        <v>-</v>
      </c>
      <c r="L304" s="254" t="str">
        <f t="shared" si="43"/>
        <v>-</v>
      </c>
      <c r="M304" s="254" t="str">
        <f t="shared" si="43"/>
        <v>-</v>
      </c>
      <c r="N304" s="255"/>
    </row>
    <row r="305" spans="1:14" s="256" customFormat="1" hidden="1" outlineLevel="2">
      <c r="A305" s="178"/>
      <c r="B305" s="257" t="s">
        <v>191</v>
      </c>
      <c r="C305" s="253" t="s">
        <v>170</v>
      </c>
      <c r="D305" s="173">
        <v>-2</v>
      </c>
      <c r="E305" s="252">
        <v>0.8</v>
      </c>
      <c r="F305" s="252"/>
      <c r="G305" s="254" t="str">
        <f t="shared" si="43"/>
        <v>-</v>
      </c>
      <c r="H305" s="254" t="str">
        <f t="shared" si="43"/>
        <v>-</v>
      </c>
      <c r="I305" s="254" t="str">
        <f t="shared" si="43"/>
        <v>-</v>
      </c>
      <c r="J305" s="254" t="str">
        <f t="shared" si="43"/>
        <v>-</v>
      </c>
      <c r="K305" s="254" t="str">
        <f t="shared" si="43"/>
        <v>-</v>
      </c>
      <c r="L305" s="254" t="str">
        <f t="shared" si="43"/>
        <v>-</v>
      </c>
      <c r="M305" s="254" t="str">
        <f t="shared" si="43"/>
        <v>-</v>
      </c>
      <c r="N305" s="255"/>
    </row>
    <row r="306" spans="1:14" s="256" customFormat="1" hidden="1" outlineLevel="2">
      <c r="A306" s="178"/>
      <c r="B306" s="257" t="s">
        <v>191</v>
      </c>
      <c r="C306" s="253" t="s">
        <v>170</v>
      </c>
      <c r="D306" s="173">
        <v>-1</v>
      </c>
      <c r="E306" s="252">
        <v>2.35</v>
      </c>
      <c r="F306" s="252"/>
      <c r="G306" s="254" t="str">
        <f t="shared" si="43"/>
        <v>-</v>
      </c>
      <c r="H306" s="254" t="str">
        <f t="shared" si="43"/>
        <v>-</v>
      </c>
      <c r="I306" s="254" t="str">
        <f t="shared" si="43"/>
        <v>-</v>
      </c>
      <c r="J306" s="254" t="str">
        <f t="shared" si="43"/>
        <v>-</v>
      </c>
      <c r="K306" s="254" t="str">
        <f t="shared" si="43"/>
        <v>-</v>
      </c>
      <c r="L306" s="254" t="str">
        <f t="shared" si="43"/>
        <v>-</v>
      </c>
      <c r="M306" s="254" t="str">
        <f t="shared" si="43"/>
        <v>-</v>
      </c>
      <c r="N306" s="255"/>
    </row>
    <row r="307" spans="1:14" s="256" customFormat="1" hidden="1" outlineLevel="2">
      <c r="A307" s="178"/>
      <c r="B307" s="252" t="s">
        <v>193</v>
      </c>
      <c r="C307" s="253" t="s">
        <v>171</v>
      </c>
      <c r="D307" s="173">
        <v>1</v>
      </c>
      <c r="E307" s="252">
        <v>22.3</v>
      </c>
      <c r="F307" s="252"/>
      <c r="G307" s="254" t="str">
        <f t="shared" si="43"/>
        <v>-</v>
      </c>
      <c r="H307" s="254">
        <f t="shared" si="43"/>
        <v>22.3</v>
      </c>
      <c r="I307" s="254" t="str">
        <f t="shared" si="43"/>
        <v>-</v>
      </c>
      <c r="J307" s="254" t="str">
        <f t="shared" si="43"/>
        <v>-</v>
      </c>
      <c r="K307" s="254" t="str">
        <f t="shared" si="43"/>
        <v>-</v>
      </c>
      <c r="L307" s="254" t="str">
        <f t="shared" si="43"/>
        <v>-</v>
      </c>
      <c r="M307" s="254" t="str">
        <f t="shared" si="43"/>
        <v>-</v>
      </c>
      <c r="N307" s="255"/>
    </row>
    <row r="308" spans="1:14" s="256" customFormat="1" hidden="1" outlineLevel="2">
      <c r="A308" s="178"/>
      <c r="B308" s="252" t="s">
        <v>194</v>
      </c>
      <c r="C308" s="253" t="s">
        <v>172</v>
      </c>
      <c r="D308" s="173">
        <v>1</v>
      </c>
      <c r="E308" s="252">
        <v>21.5</v>
      </c>
      <c r="F308" s="252"/>
      <c r="G308" s="254" t="str">
        <f t="shared" si="43"/>
        <v>-</v>
      </c>
      <c r="H308" s="254" t="str">
        <f t="shared" si="43"/>
        <v>-</v>
      </c>
      <c r="I308" s="254" t="str">
        <f t="shared" si="43"/>
        <v>-</v>
      </c>
      <c r="J308" s="254" t="str">
        <f t="shared" si="43"/>
        <v>-</v>
      </c>
      <c r="K308" s="254" t="str">
        <f t="shared" si="43"/>
        <v>-</v>
      </c>
      <c r="L308" s="254" t="str">
        <f t="shared" si="43"/>
        <v>-</v>
      </c>
      <c r="M308" s="254" t="str">
        <f t="shared" si="43"/>
        <v>-</v>
      </c>
      <c r="N308" s="255"/>
    </row>
    <row r="309" spans="1:14" s="256" customFormat="1" hidden="1" outlineLevel="2">
      <c r="A309" s="178"/>
      <c r="B309" s="257" t="s">
        <v>191</v>
      </c>
      <c r="C309" s="253" t="s">
        <v>172</v>
      </c>
      <c r="D309" s="173">
        <v>-1</v>
      </c>
      <c r="E309" s="252">
        <v>1.2</v>
      </c>
      <c r="F309" s="252"/>
      <c r="G309" s="254" t="str">
        <f t="shared" si="43"/>
        <v>-</v>
      </c>
      <c r="H309" s="254" t="str">
        <f t="shared" ref="G309:M316" si="45">IF($C309=H$5,PRODUCT($D309:$F309),"-")</f>
        <v>-</v>
      </c>
      <c r="I309" s="254" t="str">
        <f t="shared" si="45"/>
        <v>-</v>
      </c>
      <c r="J309" s="254" t="str">
        <f t="shared" si="45"/>
        <v>-</v>
      </c>
      <c r="K309" s="254" t="str">
        <f t="shared" si="45"/>
        <v>-</v>
      </c>
      <c r="L309" s="254" t="str">
        <f t="shared" si="45"/>
        <v>-</v>
      </c>
      <c r="M309" s="254" t="str">
        <f t="shared" si="45"/>
        <v>-</v>
      </c>
      <c r="N309" s="255"/>
    </row>
    <row r="310" spans="1:14" s="256" customFormat="1" hidden="1" outlineLevel="2">
      <c r="A310" s="178"/>
      <c r="B310" s="257" t="s">
        <v>191</v>
      </c>
      <c r="C310" s="253" t="s">
        <v>170</v>
      </c>
      <c r="D310" s="173">
        <v>-1</v>
      </c>
      <c r="E310" s="252">
        <v>2.35</v>
      </c>
      <c r="F310" s="252"/>
      <c r="G310" s="254" t="str">
        <f t="shared" si="45"/>
        <v>-</v>
      </c>
      <c r="H310" s="254" t="str">
        <f t="shared" si="45"/>
        <v>-</v>
      </c>
      <c r="I310" s="254" t="str">
        <f t="shared" si="45"/>
        <v>-</v>
      </c>
      <c r="J310" s="254" t="str">
        <f t="shared" si="45"/>
        <v>-</v>
      </c>
      <c r="K310" s="254" t="str">
        <f t="shared" si="45"/>
        <v>-</v>
      </c>
      <c r="L310" s="254" t="str">
        <f t="shared" si="45"/>
        <v>-</v>
      </c>
      <c r="M310" s="254" t="str">
        <f t="shared" si="45"/>
        <v>-</v>
      </c>
      <c r="N310" s="255"/>
    </row>
    <row r="311" spans="1:14" s="256" customFormat="1" hidden="1" outlineLevel="2">
      <c r="A311" s="178"/>
      <c r="B311" s="257" t="s">
        <v>195</v>
      </c>
      <c r="C311" s="253" t="s">
        <v>172</v>
      </c>
      <c r="D311" s="173">
        <v>-1</v>
      </c>
      <c r="E311" s="252">
        <v>1.43</v>
      </c>
      <c r="F311" s="252"/>
      <c r="G311" s="254" t="str">
        <f t="shared" si="45"/>
        <v>-</v>
      </c>
      <c r="H311" s="254" t="str">
        <f t="shared" si="45"/>
        <v>-</v>
      </c>
      <c r="I311" s="254" t="str">
        <f t="shared" si="45"/>
        <v>-</v>
      </c>
      <c r="J311" s="254" t="str">
        <f t="shared" si="45"/>
        <v>-</v>
      </c>
      <c r="K311" s="254" t="str">
        <f t="shared" si="45"/>
        <v>-</v>
      </c>
      <c r="L311" s="254" t="str">
        <f t="shared" si="45"/>
        <v>-</v>
      </c>
      <c r="M311" s="254" t="str">
        <f t="shared" si="45"/>
        <v>-</v>
      </c>
      <c r="N311" s="255"/>
    </row>
    <row r="312" spans="1:14" s="256" customFormat="1" hidden="1" outlineLevel="2">
      <c r="A312" s="178"/>
      <c r="B312" s="252" t="s">
        <v>196</v>
      </c>
      <c r="C312" s="253" t="s">
        <v>173</v>
      </c>
      <c r="D312" s="173">
        <v>1</v>
      </c>
      <c r="E312" s="252">
        <v>4</v>
      </c>
      <c r="F312" s="252"/>
      <c r="G312" s="254" t="str">
        <f t="shared" si="45"/>
        <v>-</v>
      </c>
      <c r="H312" s="254" t="str">
        <f t="shared" si="45"/>
        <v>-</v>
      </c>
      <c r="I312" s="254">
        <f t="shared" si="45"/>
        <v>4</v>
      </c>
      <c r="J312" s="254" t="str">
        <f t="shared" si="45"/>
        <v>-</v>
      </c>
      <c r="K312" s="254" t="str">
        <f t="shared" si="45"/>
        <v>-</v>
      </c>
      <c r="L312" s="254" t="str">
        <f t="shared" si="45"/>
        <v>-</v>
      </c>
      <c r="M312" s="254" t="str">
        <f t="shared" si="45"/>
        <v>-</v>
      </c>
      <c r="N312" s="255"/>
    </row>
    <row r="313" spans="1:14" s="256" customFormat="1" hidden="1" outlineLevel="2">
      <c r="A313" s="178"/>
      <c r="B313" s="252" t="s">
        <v>198</v>
      </c>
      <c r="C313" s="253" t="s">
        <v>174</v>
      </c>
      <c r="D313" s="173">
        <v>1</v>
      </c>
      <c r="E313" s="252">
        <v>8.6999999999999993</v>
      </c>
      <c r="F313" s="252">
        <v>2.2999999999999998</v>
      </c>
      <c r="G313" s="254" t="str">
        <f t="shared" si="45"/>
        <v>-</v>
      </c>
      <c r="H313" s="254" t="str">
        <f t="shared" si="45"/>
        <v>-</v>
      </c>
      <c r="I313" s="254" t="str">
        <f t="shared" si="45"/>
        <v>-</v>
      </c>
      <c r="J313" s="254" t="str">
        <f t="shared" si="45"/>
        <v>-</v>
      </c>
      <c r="K313" s="254" t="str">
        <f t="shared" si="45"/>
        <v>-</v>
      </c>
      <c r="L313" s="254" t="str">
        <f t="shared" si="45"/>
        <v>-</v>
      </c>
      <c r="M313" s="254" t="str">
        <f t="shared" si="45"/>
        <v>-</v>
      </c>
      <c r="N313" s="255"/>
    </row>
    <row r="314" spans="1:14" s="256" customFormat="1" hidden="1" outlineLevel="2">
      <c r="A314" s="178"/>
      <c r="B314" s="252" t="s">
        <v>204</v>
      </c>
      <c r="C314" s="253" t="s">
        <v>177</v>
      </c>
      <c r="D314" s="173">
        <v>2</v>
      </c>
      <c r="E314" s="252"/>
      <c r="F314" s="252"/>
      <c r="G314" s="254" t="str">
        <f t="shared" si="45"/>
        <v>-</v>
      </c>
      <c r="H314" s="254" t="str">
        <f t="shared" si="45"/>
        <v>-</v>
      </c>
      <c r="I314" s="254" t="str">
        <f t="shared" si="45"/>
        <v>-</v>
      </c>
      <c r="J314" s="254" t="str">
        <f t="shared" si="45"/>
        <v>-</v>
      </c>
      <c r="K314" s="254">
        <f t="shared" si="45"/>
        <v>2</v>
      </c>
      <c r="L314" s="254" t="str">
        <f t="shared" si="45"/>
        <v>-</v>
      </c>
      <c r="M314" s="254" t="str">
        <f t="shared" si="45"/>
        <v>-</v>
      </c>
      <c r="N314" s="255"/>
    </row>
    <row r="315" spans="1:14" s="256" customFormat="1" hidden="1" outlineLevel="2">
      <c r="A315" s="178"/>
      <c r="B315" s="252" t="s">
        <v>205</v>
      </c>
      <c r="C315" s="253" t="s">
        <v>178</v>
      </c>
      <c r="D315" s="173">
        <v>1</v>
      </c>
      <c r="E315" s="252"/>
      <c r="F315" s="252"/>
      <c r="G315" s="254" t="str">
        <f t="shared" si="45"/>
        <v>-</v>
      </c>
      <c r="H315" s="254" t="str">
        <f t="shared" si="45"/>
        <v>-</v>
      </c>
      <c r="I315" s="254" t="str">
        <f t="shared" si="45"/>
        <v>-</v>
      </c>
      <c r="J315" s="254" t="str">
        <f t="shared" si="45"/>
        <v>-</v>
      </c>
      <c r="K315" s="254" t="str">
        <f t="shared" si="45"/>
        <v>-</v>
      </c>
      <c r="L315" s="254">
        <f t="shared" si="45"/>
        <v>1</v>
      </c>
      <c r="M315" s="254" t="str">
        <f t="shared" si="45"/>
        <v>-</v>
      </c>
      <c r="N315" s="255"/>
    </row>
    <row r="316" spans="1:14" s="256" customFormat="1" hidden="1" outlineLevel="2">
      <c r="A316" s="259"/>
      <c r="B316" s="252"/>
      <c r="C316" s="253"/>
      <c r="D316" s="173"/>
      <c r="E316" s="252"/>
      <c r="F316" s="252"/>
      <c r="G316" s="254" t="str">
        <f t="shared" si="45"/>
        <v>-</v>
      </c>
      <c r="H316" s="254" t="str">
        <f t="shared" si="45"/>
        <v>-</v>
      </c>
      <c r="I316" s="254" t="str">
        <f t="shared" si="45"/>
        <v>-</v>
      </c>
      <c r="J316" s="254" t="str">
        <f t="shared" si="45"/>
        <v>-</v>
      </c>
      <c r="K316" s="254" t="str">
        <f t="shared" si="45"/>
        <v>-</v>
      </c>
      <c r="L316" s="254" t="str">
        <f t="shared" si="45"/>
        <v>-</v>
      </c>
      <c r="M316" s="254" t="str">
        <f t="shared" si="45"/>
        <v>-</v>
      </c>
      <c r="N316" s="255"/>
    </row>
    <row r="317" spans="1:14" s="251" customFormat="1" ht="15" hidden="1" outlineLevel="1" collapsed="1">
      <c r="A317" s="245"/>
      <c r="B317" s="246" t="s">
        <v>245</v>
      </c>
      <c r="C317" s="245"/>
      <c r="D317" s="247">
        <v>1</v>
      </c>
      <c r="E317" s="248"/>
      <c r="F317" s="248"/>
      <c r="G317" s="249">
        <f t="shared" ref="G317:M317" si="46">SUBTOTAL(9,G318:G325)</f>
        <v>188.09999999999997</v>
      </c>
      <c r="H317" s="249">
        <f t="shared" si="46"/>
        <v>27.9</v>
      </c>
      <c r="I317" s="249">
        <f t="shared" si="46"/>
        <v>0</v>
      </c>
      <c r="J317" s="249">
        <f t="shared" si="46"/>
        <v>0</v>
      </c>
      <c r="K317" s="249">
        <f t="shared" si="46"/>
        <v>0</v>
      </c>
      <c r="L317" s="249">
        <f t="shared" si="46"/>
        <v>0</v>
      </c>
      <c r="M317" s="249">
        <f t="shared" si="46"/>
        <v>0</v>
      </c>
      <c r="N317" s="250"/>
    </row>
    <row r="318" spans="1:14" s="256" customFormat="1" hidden="1" outlineLevel="2">
      <c r="A318" s="178"/>
      <c r="B318" s="252" t="s">
        <v>189</v>
      </c>
      <c r="C318" s="253" t="s">
        <v>169</v>
      </c>
      <c r="D318" s="173">
        <v>1</v>
      </c>
      <c r="E318" s="252">
        <v>417.4</v>
      </c>
      <c r="F318" s="252"/>
      <c r="G318" s="254">
        <f t="shared" ref="G318:M325" si="47">IF($C318=G$5,PRODUCT($D318:$F318),"-")</f>
        <v>417.4</v>
      </c>
      <c r="H318" s="254" t="str">
        <f t="shared" si="47"/>
        <v>-</v>
      </c>
      <c r="I318" s="254" t="str">
        <f t="shared" si="47"/>
        <v>-</v>
      </c>
      <c r="J318" s="254" t="str">
        <f t="shared" si="47"/>
        <v>-</v>
      </c>
      <c r="K318" s="254" t="str">
        <f t="shared" si="47"/>
        <v>-</v>
      </c>
      <c r="L318" s="254" t="str">
        <f t="shared" si="47"/>
        <v>-</v>
      </c>
      <c r="M318" s="254" t="str">
        <f t="shared" si="47"/>
        <v>-</v>
      </c>
      <c r="N318" s="255"/>
    </row>
    <row r="319" spans="1:14" s="256" customFormat="1" hidden="1" outlineLevel="2">
      <c r="A319" s="178"/>
      <c r="B319" s="257" t="s">
        <v>246</v>
      </c>
      <c r="C319" s="253" t="s">
        <v>169</v>
      </c>
      <c r="D319" s="173">
        <v>-1</v>
      </c>
      <c r="E319" s="252">
        <v>229.3</v>
      </c>
      <c r="F319" s="252"/>
      <c r="G319" s="254">
        <f t="shared" si="47"/>
        <v>-229.3</v>
      </c>
      <c r="H319" s="254" t="str">
        <f t="shared" si="47"/>
        <v>-</v>
      </c>
      <c r="I319" s="254" t="str">
        <f t="shared" si="47"/>
        <v>-</v>
      </c>
      <c r="J319" s="254" t="str">
        <f t="shared" si="47"/>
        <v>-</v>
      </c>
      <c r="K319" s="254" t="str">
        <f t="shared" si="47"/>
        <v>-</v>
      </c>
      <c r="L319" s="254" t="str">
        <f t="shared" si="47"/>
        <v>-</v>
      </c>
      <c r="M319" s="254" t="str">
        <f t="shared" si="47"/>
        <v>-</v>
      </c>
      <c r="N319" s="255"/>
    </row>
    <row r="320" spans="1:14" s="256" customFormat="1" hidden="1" outlineLevel="2">
      <c r="A320" s="178"/>
      <c r="B320" s="252" t="s">
        <v>190</v>
      </c>
      <c r="C320" s="253" t="s">
        <v>170</v>
      </c>
      <c r="D320" s="173">
        <v>1</v>
      </c>
      <c r="E320" s="252">
        <f>147.2+76.7</f>
        <v>223.89999999999998</v>
      </c>
      <c r="F320" s="252"/>
      <c r="G320" s="254" t="str">
        <f t="shared" si="47"/>
        <v>-</v>
      </c>
      <c r="H320" s="254" t="str">
        <f t="shared" si="47"/>
        <v>-</v>
      </c>
      <c r="I320" s="254" t="str">
        <f t="shared" si="47"/>
        <v>-</v>
      </c>
      <c r="J320" s="254" t="str">
        <f t="shared" si="47"/>
        <v>-</v>
      </c>
      <c r="K320" s="254" t="str">
        <f t="shared" si="47"/>
        <v>-</v>
      </c>
      <c r="L320" s="254" t="str">
        <f t="shared" si="47"/>
        <v>-</v>
      </c>
      <c r="M320" s="254" t="str">
        <f t="shared" si="47"/>
        <v>-</v>
      </c>
      <c r="N320" s="255"/>
    </row>
    <row r="321" spans="1:14" s="256" customFormat="1" hidden="1" outlineLevel="2">
      <c r="A321" s="178"/>
      <c r="B321" s="266" t="s">
        <v>247</v>
      </c>
      <c r="C321" s="253" t="s">
        <v>170</v>
      </c>
      <c r="D321" s="173">
        <v>-2</v>
      </c>
      <c r="E321" s="252">
        <f>8.7+1*2+0.8*12+1.25*2</f>
        <v>22.8</v>
      </c>
      <c r="F321" s="252"/>
      <c r="G321" s="254" t="str">
        <f t="shared" si="47"/>
        <v>-</v>
      </c>
      <c r="H321" s="254" t="str">
        <f t="shared" si="47"/>
        <v>-</v>
      </c>
      <c r="I321" s="254" t="str">
        <f t="shared" si="47"/>
        <v>-</v>
      </c>
      <c r="J321" s="254" t="str">
        <f t="shared" si="47"/>
        <v>-</v>
      </c>
      <c r="K321" s="254" t="str">
        <f t="shared" si="47"/>
        <v>-</v>
      </c>
      <c r="L321" s="254" t="str">
        <f t="shared" si="47"/>
        <v>-</v>
      </c>
      <c r="M321" s="254" t="str">
        <f t="shared" si="47"/>
        <v>-</v>
      </c>
      <c r="N321" s="255"/>
    </row>
    <row r="322" spans="1:14" s="256" customFormat="1" hidden="1" outlineLevel="2">
      <c r="A322" s="178"/>
      <c r="B322" s="252" t="s">
        <v>193</v>
      </c>
      <c r="C322" s="253" t="s">
        <v>171</v>
      </c>
      <c r="D322" s="173">
        <v>1</v>
      </c>
      <c r="E322" s="252">
        <v>27.9</v>
      </c>
      <c r="F322" s="252"/>
      <c r="G322" s="254" t="str">
        <f t="shared" si="47"/>
        <v>-</v>
      </c>
      <c r="H322" s="254">
        <f t="shared" si="47"/>
        <v>27.9</v>
      </c>
      <c r="I322" s="254" t="str">
        <f t="shared" si="47"/>
        <v>-</v>
      </c>
      <c r="J322" s="254" t="str">
        <f t="shared" si="47"/>
        <v>-</v>
      </c>
      <c r="K322" s="254" t="str">
        <f t="shared" si="47"/>
        <v>-</v>
      </c>
      <c r="L322" s="254" t="str">
        <f t="shared" si="47"/>
        <v>-</v>
      </c>
      <c r="M322" s="254" t="str">
        <f t="shared" si="47"/>
        <v>-</v>
      </c>
      <c r="N322" s="255"/>
    </row>
    <row r="323" spans="1:14" s="256" customFormat="1" hidden="1" outlineLevel="2">
      <c r="A323" s="178"/>
      <c r="B323" s="252" t="s">
        <v>194</v>
      </c>
      <c r="C323" s="253" t="s">
        <v>172</v>
      </c>
      <c r="D323" s="173">
        <v>1</v>
      </c>
      <c r="E323" s="252">
        <v>31.5</v>
      </c>
      <c r="F323" s="252"/>
      <c r="G323" s="254" t="str">
        <f t="shared" si="47"/>
        <v>-</v>
      </c>
      <c r="H323" s="254" t="str">
        <f t="shared" si="47"/>
        <v>-</v>
      </c>
      <c r="I323" s="254" t="str">
        <f t="shared" si="47"/>
        <v>-</v>
      </c>
      <c r="J323" s="254" t="str">
        <f t="shared" si="47"/>
        <v>-</v>
      </c>
      <c r="K323" s="254" t="str">
        <f t="shared" si="47"/>
        <v>-</v>
      </c>
      <c r="L323" s="254" t="str">
        <f t="shared" si="47"/>
        <v>-</v>
      </c>
      <c r="M323" s="254" t="str">
        <f t="shared" si="47"/>
        <v>-</v>
      </c>
      <c r="N323" s="255"/>
    </row>
    <row r="324" spans="1:14" s="256" customFormat="1" hidden="1" outlineLevel="2">
      <c r="A324" s="178"/>
      <c r="B324" s="257" t="s">
        <v>191</v>
      </c>
      <c r="C324" s="253" t="s">
        <v>172</v>
      </c>
      <c r="D324" s="173">
        <v>-1</v>
      </c>
      <c r="E324" s="252">
        <v>1.4</v>
      </c>
      <c r="F324" s="252"/>
      <c r="G324" s="254" t="str">
        <f t="shared" si="47"/>
        <v>-</v>
      </c>
      <c r="H324" s="254" t="str">
        <f t="shared" si="47"/>
        <v>-</v>
      </c>
      <c r="I324" s="254" t="str">
        <f t="shared" si="47"/>
        <v>-</v>
      </c>
      <c r="J324" s="254" t="str">
        <f t="shared" si="47"/>
        <v>-</v>
      </c>
      <c r="K324" s="254" t="str">
        <f t="shared" si="47"/>
        <v>-</v>
      </c>
      <c r="L324" s="254" t="str">
        <f t="shared" si="47"/>
        <v>-</v>
      </c>
      <c r="M324" s="254" t="str">
        <f t="shared" si="47"/>
        <v>-</v>
      </c>
      <c r="N324" s="255"/>
    </row>
    <row r="325" spans="1:14" s="256" customFormat="1" hidden="1" outlineLevel="2">
      <c r="A325" s="259"/>
      <c r="B325" s="252"/>
      <c r="C325" s="253"/>
      <c r="D325" s="173"/>
      <c r="E325" s="252"/>
      <c r="F325" s="252"/>
      <c r="G325" s="254" t="str">
        <f t="shared" si="47"/>
        <v>-</v>
      </c>
      <c r="H325" s="254" t="str">
        <f t="shared" si="47"/>
        <v>-</v>
      </c>
      <c r="I325" s="254" t="str">
        <f t="shared" si="47"/>
        <v>-</v>
      </c>
      <c r="J325" s="254" t="str">
        <f t="shared" si="47"/>
        <v>-</v>
      </c>
      <c r="K325" s="254" t="str">
        <f t="shared" si="47"/>
        <v>-</v>
      </c>
      <c r="L325" s="254" t="str">
        <f t="shared" si="47"/>
        <v>-</v>
      </c>
      <c r="M325" s="254" t="str">
        <f t="shared" si="47"/>
        <v>-</v>
      </c>
      <c r="N325" s="255"/>
    </row>
    <row r="326" spans="1:14" s="236" customFormat="1" ht="15" hidden="1" outlineLevel="1">
      <c r="A326" s="230"/>
      <c r="B326" s="231" t="s">
        <v>248</v>
      </c>
      <c r="C326" s="230"/>
      <c r="D326" s="232">
        <v>2</v>
      </c>
      <c r="E326" s="233"/>
      <c r="F326" s="233"/>
      <c r="G326" s="234">
        <f>G327*$D326</f>
        <v>1861.8000000000002</v>
      </c>
      <c r="H326" s="234">
        <f t="shared" ref="H326:M326" si="48">H327*$D326</f>
        <v>987.8</v>
      </c>
      <c r="I326" s="234">
        <f t="shared" si="48"/>
        <v>386.47999999999996</v>
      </c>
      <c r="J326" s="234">
        <f t="shared" si="48"/>
        <v>17.28</v>
      </c>
      <c r="K326" s="234">
        <f t="shared" si="48"/>
        <v>72</v>
      </c>
      <c r="L326" s="234">
        <f t="shared" si="48"/>
        <v>76</v>
      </c>
      <c r="M326" s="234">
        <f t="shared" si="48"/>
        <v>12</v>
      </c>
      <c r="N326" s="235" t="s">
        <v>249</v>
      </c>
    </row>
    <row r="327" spans="1:14" s="244" customFormat="1" ht="15" collapsed="1">
      <c r="A327" s="237"/>
      <c r="B327" s="238" t="s">
        <v>250</v>
      </c>
      <c r="C327" s="237"/>
      <c r="D327" s="239">
        <v>1</v>
      </c>
      <c r="E327" s="240"/>
      <c r="F327" s="241"/>
      <c r="G327" s="242">
        <f t="shared" ref="G327:M327" si="49">SUBTOTAL(9,G328:G466)</f>
        <v>930.90000000000009</v>
      </c>
      <c r="H327" s="242">
        <f t="shared" si="49"/>
        <v>493.9</v>
      </c>
      <c r="I327" s="242">
        <f t="shared" si="49"/>
        <v>193.23999999999998</v>
      </c>
      <c r="J327" s="242">
        <f t="shared" si="49"/>
        <v>8.64</v>
      </c>
      <c r="K327" s="242">
        <f t="shared" si="49"/>
        <v>36</v>
      </c>
      <c r="L327" s="242">
        <f t="shared" si="49"/>
        <v>38</v>
      </c>
      <c r="M327" s="242">
        <f t="shared" si="49"/>
        <v>6</v>
      </c>
      <c r="N327" s="243"/>
    </row>
    <row r="328" spans="1:14" s="251" customFormat="1" ht="15" hidden="1" outlineLevel="1" collapsed="1">
      <c r="A328" s="245"/>
      <c r="B328" s="246" t="s">
        <v>188</v>
      </c>
      <c r="C328" s="245"/>
      <c r="D328" s="247">
        <v>1</v>
      </c>
      <c r="E328" s="248"/>
      <c r="F328" s="248"/>
      <c r="G328" s="249">
        <f>SUBTOTAL(9,G329:G345)</f>
        <v>25.9</v>
      </c>
      <c r="H328" s="249">
        <f t="shared" ref="H328:M328" si="50">SUBTOTAL(9,H329:H345)</f>
        <v>26.8</v>
      </c>
      <c r="I328" s="249">
        <f t="shared" si="50"/>
        <v>4.54</v>
      </c>
      <c r="J328" s="249">
        <f t="shared" si="50"/>
        <v>0.36</v>
      </c>
      <c r="K328" s="249">
        <f t="shared" si="50"/>
        <v>1</v>
      </c>
      <c r="L328" s="249">
        <f t="shared" si="50"/>
        <v>1</v>
      </c>
      <c r="M328" s="249">
        <f t="shared" si="50"/>
        <v>0</v>
      </c>
      <c r="N328" s="250"/>
    </row>
    <row r="329" spans="1:14" s="256" customFormat="1" hidden="1" outlineLevel="2">
      <c r="A329" s="178"/>
      <c r="B329" s="252" t="s">
        <v>189</v>
      </c>
      <c r="C329" s="253" t="s">
        <v>169</v>
      </c>
      <c r="D329" s="173">
        <v>1</v>
      </c>
      <c r="E329" s="252">
        <v>25.9</v>
      </c>
      <c r="F329" s="252"/>
      <c r="G329" s="254">
        <f t="shared" ref="G329:M353" si="51">IF($C329=G$5,PRODUCT($D329:$F329),"-")</f>
        <v>25.9</v>
      </c>
      <c r="H329" s="254" t="str">
        <f t="shared" si="51"/>
        <v>-</v>
      </c>
      <c r="I329" s="254" t="str">
        <f t="shared" si="51"/>
        <v>-</v>
      </c>
      <c r="J329" s="254" t="str">
        <f t="shared" si="51"/>
        <v>-</v>
      </c>
      <c r="K329" s="254" t="str">
        <f t="shared" si="51"/>
        <v>-</v>
      </c>
      <c r="L329" s="254" t="str">
        <f t="shared" si="51"/>
        <v>-</v>
      </c>
      <c r="M329" s="254" t="str">
        <f t="shared" si="51"/>
        <v>-</v>
      </c>
      <c r="N329" s="255"/>
    </row>
    <row r="330" spans="1:14" s="256" customFormat="1" hidden="1" outlineLevel="2">
      <c r="A330" s="178"/>
      <c r="B330" s="252" t="s">
        <v>190</v>
      </c>
      <c r="C330" s="253" t="s">
        <v>170</v>
      </c>
      <c r="D330" s="173">
        <v>1</v>
      </c>
      <c r="E330" s="252">
        <v>23.3</v>
      </c>
      <c r="F330" s="252"/>
      <c r="G330" s="254" t="str">
        <f t="shared" si="51"/>
        <v>-</v>
      </c>
      <c r="H330" s="254" t="str">
        <f t="shared" si="51"/>
        <v>-</v>
      </c>
      <c r="I330" s="254" t="str">
        <f t="shared" si="51"/>
        <v>-</v>
      </c>
      <c r="J330" s="254" t="str">
        <f t="shared" si="51"/>
        <v>-</v>
      </c>
      <c r="K330" s="254" t="str">
        <f t="shared" si="51"/>
        <v>-</v>
      </c>
      <c r="L330" s="254" t="str">
        <f t="shared" si="51"/>
        <v>-</v>
      </c>
      <c r="M330" s="254" t="str">
        <f t="shared" si="51"/>
        <v>-</v>
      </c>
      <c r="N330" s="255"/>
    </row>
    <row r="331" spans="1:14" s="256" customFormat="1" hidden="1" outlineLevel="2">
      <c r="A331" s="178"/>
      <c r="B331" s="257" t="s">
        <v>191</v>
      </c>
      <c r="C331" s="253" t="s">
        <v>170</v>
      </c>
      <c r="D331" s="173">
        <v>-2</v>
      </c>
      <c r="E331" s="252">
        <v>0.8</v>
      </c>
      <c r="F331" s="252"/>
      <c r="G331" s="254" t="str">
        <f t="shared" si="51"/>
        <v>-</v>
      </c>
      <c r="H331" s="254" t="str">
        <f t="shared" si="51"/>
        <v>-</v>
      </c>
      <c r="I331" s="254" t="str">
        <f t="shared" si="51"/>
        <v>-</v>
      </c>
      <c r="J331" s="254" t="str">
        <f t="shared" si="51"/>
        <v>-</v>
      </c>
      <c r="K331" s="254" t="str">
        <f t="shared" si="51"/>
        <v>-</v>
      </c>
      <c r="L331" s="254" t="str">
        <f t="shared" si="51"/>
        <v>-</v>
      </c>
      <c r="M331" s="254" t="str">
        <f t="shared" si="51"/>
        <v>-</v>
      </c>
      <c r="N331" s="255"/>
    </row>
    <row r="332" spans="1:14" s="256" customFormat="1" hidden="1" outlineLevel="2">
      <c r="A332" s="178"/>
      <c r="B332" s="257" t="s">
        <v>191</v>
      </c>
      <c r="C332" s="253" t="s">
        <v>170</v>
      </c>
      <c r="D332" s="173">
        <v>-1</v>
      </c>
      <c r="E332" s="252">
        <v>2.35</v>
      </c>
      <c r="F332" s="252"/>
      <c r="G332" s="254" t="str">
        <f t="shared" si="51"/>
        <v>-</v>
      </c>
      <c r="H332" s="254" t="str">
        <f t="shared" si="51"/>
        <v>-</v>
      </c>
      <c r="I332" s="254" t="str">
        <f t="shared" si="51"/>
        <v>-</v>
      </c>
      <c r="J332" s="254" t="str">
        <f t="shared" si="51"/>
        <v>-</v>
      </c>
      <c r="K332" s="254" t="str">
        <f t="shared" si="51"/>
        <v>-</v>
      </c>
      <c r="L332" s="254" t="str">
        <f t="shared" si="51"/>
        <v>-</v>
      </c>
      <c r="M332" s="254" t="str">
        <f t="shared" si="51"/>
        <v>-</v>
      </c>
      <c r="N332" s="255"/>
    </row>
    <row r="333" spans="1:14" s="256" customFormat="1" hidden="1" outlineLevel="2">
      <c r="A333" s="178"/>
      <c r="B333" s="252" t="s">
        <v>193</v>
      </c>
      <c r="C333" s="253" t="s">
        <v>171</v>
      </c>
      <c r="D333" s="173">
        <v>1</v>
      </c>
      <c r="E333" s="252">
        <v>26.8</v>
      </c>
      <c r="F333" s="252"/>
      <c r="G333" s="254" t="str">
        <f t="shared" si="51"/>
        <v>-</v>
      </c>
      <c r="H333" s="254">
        <f t="shared" si="51"/>
        <v>26.8</v>
      </c>
      <c r="I333" s="254" t="str">
        <f t="shared" si="51"/>
        <v>-</v>
      </c>
      <c r="J333" s="254" t="str">
        <f t="shared" si="51"/>
        <v>-</v>
      </c>
      <c r="K333" s="254" t="str">
        <f t="shared" si="51"/>
        <v>-</v>
      </c>
      <c r="L333" s="254" t="str">
        <f t="shared" si="51"/>
        <v>-</v>
      </c>
      <c r="M333" s="254" t="str">
        <f t="shared" si="51"/>
        <v>-</v>
      </c>
      <c r="N333" s="255"/>
    </row>
    <row r="334" spans="1:14" s="256" customFormat="1" hidden="1" outlineLevel="2">
      <c r="A334" s="178"/>
      <c r="B334" s="252" t="s">
        <v>194</v>
      </c>
      <c r="C334" s="253" t="s">
        <v>172</v>
      </c>
      <c r="D334" s="173">
        <v>1</v>
      </c>
      <c r="E334" s="252">
        <v>30</v>
      </c>
      <c r="F334" s="252"/>
      <c r="G334" s="254" t="str">
        <f t="shared" si="51"/>
        <v>-</v>
      </c>
      <c r="H334" s="254" t="str">
        <f t="shared" si="51"/>
        <v>-</v>
      </c>
      <c r="I334" s="254" t="str">
        <f t="shared" si="51"/>
        <v>-</v>
      </c>
      <c r="J334" s="254" t="str">
        <f t="shared" si="51"/>
        <v>-</v>
      </c>
      <c r="K334" s="254" t="str">
        <f t="shared" si="51"/>
        <v>-</v>
      </c>
      <c r="L334" s="254" t="str">
        <f t="shared" si="51"/>
        <v>-</v>
      </c>
      <c r="M334" s="254" t="str">
        <f t="shared" si="51"/>
        <v>-</v>
      </c>
      <c r="N334" s="255"/>
    </row>
    <row r="335" spans="1:14" s="256" customFormat="1" hidden="1" outlineLevel="2">
      <c r="A335" s="178"/>
      <c r="B335" s="257" t="s">
        <v>191</v>
      </c>
      <c r="C335" s="253" t="s">
        <v>172</v>
      </c>
      <c r="D335" s="173">
        <v>-1</v>
      </c>
      <c r="E335" s="252">
        <v>1.2</v>
      </c>
      <c r="F335" s="252"/>
      <c r="G335" s="254" t="str">
        <f t="shared" si="51"/>
        <v>-</v>
      </c>
      <c r="H335" s="254" t="str">
        <f t="shared" si="51"/>
        <v>-</v>
      </c>
      <c r="I335" s="254" t="str">
        <f t="shared" si="51"/>
        <v>-</v>
      </c>
      <c r="J335" s="254" t="str">
        <f t="shared" si="51"/>
        <v>-</v>
      </c>
      <c r="K335" s="254" t="str">
        <f t="shared" si="51"/>
        <v>-</v>
      </c>
      <c r="L335" s="254" t="str">
        <f t="shared" si="51"/>
        <v>-</v>
      </c>
      <c r="M335" s="254" t="str">
        <f t="shared" si="51"/>
        <v>-</v>
      </c>
      <c r="N335" s="255"/>
    </row>
    <row r="336" spans="1:14" s="256" customFormat="1" hidden="1" outlineLevel="2">
      <c r="A336" s="178"/>
      <c r="B336" s="257" t="s">
        <v>191</v>
      </c>
      <c r="C336" s="253" t="s">
        <v>170</v>
      </c>
      <c r="D336" s="173">
        <v>-1</v>
      </c>
      <c r="E336" s="252">
        <v>2.35</v>
      </c>
      <c r="F336" s="252"/>
      <c r="G336" s="254" t="str">
        <f t="shared" si="51"/>
        <v>-</v>
      </c>
      <c r="H336" s="254" t="str">
        <f t="shared" si="51"/>
        <v>-</v>
      </c>
      <c r="I336" s="254" t="str">
        <f t="shared" si="51"/>
        <v>-</v>
      </c>
      <c r="J336" s="254" t="str">
        <f t="shared" si="51"/>
        <v>-</v>
      </c>
      <c r="K336" s="254" t="str">
        <f t="shared" si="51"/>
        <v>-</v>
      </c>
      <c r="L336" s="254" t="str">
        <f t="shared" si="51"/>
        <v>-</v>
      </c>
      <c r="M336" s="254" t="str">
        <f t="shared" si="51"/>
        <v>-</v>
      </c>
      <c r="N336" s="255"/>
    </row>
    <row r="337" spans="1:14" s="256" customFormat="1" hidden="1" outlineLevel="2">
      <c r="A337" s="178"/>
      <c r="B337" s="257" t="s">
        <v>195</v>
      </c>
      <c r="C337" s="253" t="s">
        <v>172</v>
      </c>
      <c r="D337" s="173">
        <v>-1</v>
      </c>
      <c r="E337" s="252">
        <v>1.43</v>
      </c>
      <c r="F337" s="252"/>
      <c r="G337" s="254" t="str">
        <f t="shared" si="51"/>
        <v>-</v>
      </c>
      <c r="H337" s="254" t="str">
        <f t="shared" si="51"/>
        <v>-</v>
      </c>
      <c r="I337" s="254" t="str">
        <f t="shared" si="51"/>
        <v>-</v>
      </c>
      <c r="J337" s="254" t="str">
        <f t="shared" si="51"/>
        <v>-</v>
      </c>
      <c r="K337" s="254" t="str">
        <f t="shared" si="51"/>
        <v>-</v>
      </c>
      <c r="L337" s="254" t="str">
        <f t="shared" si="51"/>
        <v>-</v>
      </c>
      <c r="M337" s="254" t="str">
        <f t="shared" si="51"/>
        <v>-</v>
      </c>
      <c r="N337" s="255"/>
    </row>
    <row r="338" spans="1:14" s="256" customFormat="1" hidden="1" outlineLevel="2">
      <c r="A338" s="178"/>
      <c r="B338" s="252" t="s">
        <v>196</v>
      </c>
      <c r="C338" s="253" t="s">
        <v>173</v>
      </c>
      <c r="D338" s="173">
        <v>1</v>
      </c>
      <c r="E338" s="252">
        <f>4.9-0.18*2</f>
        <v>4.54</v>
      </c>
      <c r="F338" s="252"/>
      <c r="G338" s="254" t="str">
        <f t="shared" si="51"/>
        <v>-</v>
      </c>
      <c r="H338" s="254" t="str">
        <f t="shared" si="51"/>
        <v>-</v>
      </c>
      <c r="I338" s="254">
        <f t="shared" si="51"/>
        <v>4.54</v>
      </c>
      <c r="J338" s="254" t="str">
        <f t="shared" si="51"/>
        <v>-</v>
      </c>
      <c r="K338" s="254" t="str">
        <f t="shared" si="51"/>
        <v>-</v>
      </c>
      <c r="L338" s="254" t="str">
        <f t="shared" si="51"/>
        <v>-</v>
      </c>
      <c r="M338" s="254" t="str">
        <f t="shared" si="51"/>
        <v>-</v>
      </c>
      <c r="N338" s="255"/>
    </row>
    <row r="339" spans="1:14" s="256" customFormat="1" hidden="1" outlineLevel="2">
      <c r="A339" s="178"/>
      <c r="B339" s="252" t="s">
        <v>197</v>
      </c>
      <c r="C339" s="253" t="s">
        <v>175</v>
      </c>
      <c r="D339" s="173">
        <v>1</v>
      </c>
      <c r="E339" s="252">
        <f>0.3*0.6*2</f>
        <v>0.36</v>
      </c>
      <c r="F339" s="252"/>
      <c r="G339" s="254" t="str">
        <f t="shared" si="51"/>
        <v>-</v>
      </c>
      <c r="H339" s="254" t="str">
        <f t="shared" si="51"/>
        <v>-</v>
      </c>
      <c r="I339" s="254" t="str">
        <f t="shared" si="51"/>
        <v>-</v>
      </c>
      <c r="J339" s="254">
        <f t="shared" si="51"/>
        <v>0.36</v>
      </c>
      <c r="K339" s="254" t="str">
        <f t="shared" si="51"/>
        <v>-</v>
      </c>
      <c r="L339" s="254" t="str">
        <f t="shared" si="51"/>
        <v>-</v>
      </c>
      <c r="M339" s="254" t="str">
        <f t="shared" si="51"/>
        <v>-</v>
      </c>
      <c r="N339" s="255"/>
    </row>
    <row r="340" spans="1:14" s="256" customFormat="1" hidden="1" outlineLevel="2">
      <c r="A340" s="178"/>
      <c r="B340" s="252" t="s">
        <v>198</v>
      </c>
      <c r="C340" s="253" t="s">
        <v>174</v>
      </c>
      <c r="D340" s="173">
        <v>1</v>
      </c>
      <c r="E340" s="252">
        <v>8.6999999999999993</v>
      </c>
      <c r="F340" s="252">
        <v>2.2999999999999998</v>
      </c>
      <c r="G340" s="254" t="str">
        <f t="shared" si="51"/>
        <v>-</v>
      </c>
      <c r="H340" s="254" t="str">
        <f t="shared" si="51"/>
        <v>-</v>
      </c>
      <c r="I340" s="254" t="str">
        <f t="shared" si="51"/>
        <v>-</v>
      </c>
      <c r="J340" s="254" t="str">
        <f t="shared" si="51"/>
        <v>-</v>
      </c>
      <c r="K340" s="254" t="str">
        <f t="shared" si="51"/>
        <v>-</v>
      </c>
      <c r="L340" s="254" t="str">
        <f t="shared" si="51"/>
        <v>-</v>
      </c>
      <c r="M340" s="254" t="str">
        <f t="shared" si="51"/>
        <v>-</v>
      </c>
      <c r="N340" s="255" t="s">
        <v>251</v>
      </c>
    </row>
    <row r="341" spans="1:14" s="256" customFormat="1" hidden="1" outlineLevel="2">
      <c r="A341" s="178"/>
      <c r="B341" s="252" t="s">
        <v>202</v>
      </c>
      <c r="C341" s="253" t="s">
        <v>176</v>
      </c>
      <c r="D341" s="173">
        <v>1</v>
      </c>
      <c r="E341" s="252">
        <v>1.85</v>
      </c>
      <c r="F341" s="252">
        <v>0.85</v>
      </c>
      <c r="G341" s="254" t="str">
        <f t="shared" si="51"/>
        <v>-</v>
      </c>
      <c r="H341" s="254" t="str">
        <f t="shared" si="51"/>
        <v>-</v>
      </c>
      <c r="I341" s="254" t="str">
        <f t="shared" si="51"/>
        <v>-</v>
      </c>
      <c r="J341" s="254" t="str">
        <f t="shared" si="51"/>
        <v>-</v>
      </c>
      <c r="K341" s="254" t="str">
        <f t="shared" si="51"/>
        <v>-</v>
      </c>
      <c r="L341" s="254" t="str">
        <f t="shared" si="51"/>
        <v>-</v>
      </c>
      <c r="M341" s="254" t="str">
        <f t="shared" si="51"/>
        <v>-</v>
      </c>
      <c r="N341" s="255"/>
    </row>
    <row r="342" spans="1:14" s="256" customFormat="1" hidden="1" outlineLevel="2">
      <c r="A342" s="178"/>
      <c r="B342" s="257" t="s">
        <v>203</v>
      </c>
      <c r="C342" s="253" t="s">
        <v>176</v>
      </c>
      <c r="D342" s="173">
        <v>-1</v>
      </c>
      <c r="E342" s="252">
        <v>1.45</v>
      </c>
      <c r="F342" s="252">
        <v>0.6</v>
      </c>
      <c r="G342" s="254" t="str">
        <f t="shared" si="51"/>
        <v>-</v>
      </c>
      <c r="H342" s="254" t="str">
        <f t="shared" si="51"/>
        <v>-</v>
      </c>
      <c r="I342" s="254" t="str">
        <f t="shared" si="51"/>
        <v>-</v>
      </c>
      <c r="J342" s="254" t="str">
        <f t="shared" si="51"/>
        <v>-</v>
      </c>
      <c r="K342" s="254" t="str">
        <f t="shared" si="51"/>
        <v>-</v>
      </c>
      <c r="L342" s="254" t="str">
        <f t="shared" si="51"/>
        <v>-</v>
      </c>
      <c r="M342" s="254" t="str">
        <f t="shared" si="51"/>
        <v>-</v>
      </c>
      <c r="N342" s="255"/>
    </row>
    <row r="343" spans="1:14" s="256" customFormat="1" hidden="1" outlineLevel="2">
      <c r="A343" s="178"/>
      <c r="B343" s="252" t="s">
        <v>204</v>
      </c>
      <c r="C343" s="253" t="s">
        <v>177</v>
      </c>
      <c r="D343" s="173">
        <v>1</v>
      </c>
      <c r="E343" s="252"/>
      <c r="F343" s="252"/>
      <c r="G343" s="254" t="str">
        <f t="shared" si="51"/>
        <v>-</v>
      </c>
      <c r="H343" s="254" t="str">
        <f t="shared" si="51"/>
        <v>-</v>
      </c>
      <c r="I343" s="254" t="str">
        <f t="shared" si="51"/>
        <v>-</v>
      </c>
      <c r="J343" s="254" t="str">
        <f t="shared" si="51"/>
        <v>-</v>
      </c>
      <c r="K343" s="254">
        <f t="shared" si="51"/>
        <v>1</v>
      </c>
      <c r="L343" s="254" t="str">
        <f t="shared" si="51"/>
        <v>-</v>
      </c>
      <c r="M343" s="254" t="str">
        <f t="shared" si="51"/>
        <v>-</v>
      </c>
      <c r="N343" s="255"/>
    </row>
    <row r="344" spans="1:14" s="256" customFormat="1" hidden="1" outlineLevel="2">
      <c r="A344" s="178"/>
      <c r="B344" s="252" t="s">
        <v>205</v>
      </c>
      <c r="C344" s="253" t="s">
        <v>178</v>
      </c>
      <c r="D344" s="173">
        <v>1</v>
      </c>
      <c r="E344" s="252"/>
      <c r="F344" s="252"/>
      <c r="G344" s="254" t="str">
        <f t="shared" si="51"/>
        <v>-</v>
      </c>
      <c r="H344" s="254" t="str">
        <f t="shared" si="51"/>
        <v>-</v>
      </c>
      <c r="I344" s="254" t="str">
        <f t="shared" si="51"/>
        <v>-</v>
      </c>
      <c r="J344" s="254" t="str">
        <f t="shared" si="51"/>
        <v>-</v>
      </c>
      <c r="K344" s="254" t="str">
        <f t="shared" si="51"/>
        <v>-</v>
      </c>
      <c r="L344" s="254">
        <f t="shared" si="51"/>
        <v>1</v>
      </c>
      <c r="M344" s="254" t="str">
        <f t="shared" si="51"/>
        <v>-</v>
      </c>
      <c r="N344" s="255"/>
    </row>
    <row r="345" spans="1:14" s="256" customFormat="1" hidden="1" outlineLevel="2">
      <c r="A345" s="259"/>
      <c r="B345" s="252"/>
      <c r="C345" s="253"/>
      <c r="D345" s="173"/>
      <c r="E345" s="252"/>
      <c r="F345" s="252"/>
      <c r="G345" s="254" t="str">
        <f t="shared" si="51"/>
        <v>-</v>
      </c>
      <c r="H345" s="254" t="str">
        <f t="shared" si="51"/>
        <v>-</v>
      </c>
      <c r="I345" s="254" t="str">
        <f t="shared" si="51"/>
        <v>-</v>
      </c>
      <c r="J345" s="254" t="str">
        <f t="shared" si="51"/>
        <v>-</v>
      </c>
      <c r="K345" s="254" t="str">
        <f t="shared" si="51"/>
        <v>-</v>
      </c>
      <c r="L345" s="254" t="str">
        <f t="shared" si="51"/>
        <v>-</v>
      </c>
      <c r="M345" s="254" t="str">
        <f t="shared" si="51"/>
        <v>-</v>
      </c>
      <c r="N345" s="255"/>
    </row>
    <row r="346" spans="1:14" s="251" customFormat="1" ht="15" hidden="1" outlineLevel="1" collapsed="1">
      <c r="A346" s="245"/>
      <c r="B346" s="246" t="s">
        <v>206</v>
      </c>
      <c r="C346" s="245"/>
      <c r="D346" s="247">
        <v>1</v>
      </c>
      <c r="E346" s="248"/>
      <c r="F346" s="248"/>
      <c r="G346" s="249">
        <f>SUBTOTAL(9,G347:G364)</f>
        <v>39.5</v>
      </c>
      <c r="H346" s="249">
        <f t="shared" ref="H346:M346" si="52">SUBTOTAL(9,H347:H364)</f>
        <v>0</v>
      </c>
      <c r="I346" s="249">
        <f t="shared" si="52"/>
        <v>6.04</v>
      </c>
      <c r="J346" s="249">
        <f t="shared" si="52"/>
        <v>0.36</v>
      </c>
      <c r="K346" s="249">
        <f t="shared" si="52"/>
        <v>1</v>
      </c>
      <c r="L346" s="249">
        <f t="shared" si="52"/>
        <v>1</v>
      </c>
      <c r="M346" s="249">
        <f t="shared" si="52"/>
        <v>1</v>
      </c>
      <c r="N346" s="250"/>
    </row>
    <row r="347" spans="1:14" s="256" customFormat="1" hidden="1" outlineLevel="2">
      <c r="A347" s="178"/>
      <c r="B347" s="252" t="s">
        <v>189</v>
      </c>
      <c r="C347" s="253" t="s">
        <v>169</v>
      </c>
      <c r="D347" s="173">
        <v>1</v>
      </c>
      <c r="E347" s="252">
        <f>18.4+21.1</f>
        <v>39.5</v>
      </c>
      <c r="F347" s="252"/>
      <c r="G347" s="254">
        <f t="shared" si="51"/>
        <v>39.5</v>
      </c>
      <c r="H347" s="254" t="str">
        <f t="shared" si="51"/>
        <v>-</v>
      </c>
      <c r="I347" s="254" t="str">
        <f t="shared" si="51"/>
        <v>-</v>
      </c>
      <c r="J347" s="254" t="str">
        <f t="shared" si="51"/>
        <v>-</v>
      </c>
      <c r="K347" s="254" t="str">
        <f t="shared" si="51"/>
        <v>-</v>
      </c>
      <c r="L347" s="254" t="str">
        <f t="shared" si="51"/>
        <v>-</v>
      </c>
      <c r="M347" s="254" t="str">
        <f t="shared" si="51"/>
        <v>-</v>
      </c>
      <c r="N347" s="255"/>
    </row>
    <row r="348" spans="1:14" s="256" customFormat="1" hidden="1" outlineLevel="2">
      <c r="A348" s="178"/>
      <c r="B348" s="252" t="s">
        <v>190</v>
      </c>
      <c r="C348" s="253" t="s">
        <v>170</v>
      </c>
      <c r="D348" s="173">
        <v>1</v>
      </c>
      <c r="E348" s="252">
        <f>26.2+21.7</f>
        <v>47.9</v>
      </c>
      <c r="F348" s="252"/>
      <c r="G348" s="254" t="str">
        <f t="shared" si="51"/>
        <v>-</v>
      </c>
      <c r="H348" s="254" t="str">
        <f t="shared" si="51"/>
        <v>-</v>
      </c>
      <c r="I348" s="254" t="str">
        <f t="shared" si="51"/>
        <v>-</v>
      </c>
      <c r="J348" s="254" t="str">
        <f t="shared" si="51"/>
        <v>-</v>
      </c>
      <c r="K348" s="254" t="str">
        <f t="shared" si="51"/>
        <v>-</v>
      </c>
      <c r="L348" s="254" t="str">
        <f t="shared" si="51"/>
        <v>-</v>
      </c>
      <c r="M348" s="254" t="str">
        <f t="shared" si="51"/>
        <v>-</v>
      </c>
      <c r="N348" s="255"/>
    </row>
    <row r="349" spans="1:14" s="256" customFormat="1" hidden="1" outlineLevel="2">
      <c r="A349" s="178"/>
      <c r="B349" s="257" t="s">
        <v>191</v>
      </c>
      <c r="C349" s="253" t="s">
        <v>170</v>
      </c>
      <c r="D349" s="173">
        <v>-3</v>
      </c>
      <c r="E349" s="252">
        <v>0.8</v>
      </c>
      <c r="F349" s="252"/>
      <c r="G349" s="254" t="str">
        <f t="shared" si="51"/>
        <v>-</v>
      </c>
      <c r="H349" s="254" t="str">
        <f t="shared" si="51"/>
        <v>-</v>
      </c>
      <c r="I349" s="254" t="str">
        <f t="shared" si="51"/>
        <v>-</v>
      </c>
      <c r="J349" s="254" t="str">
        <f t="shared" si="51"/>
        <v>-</v>
      </c>
      <c r="K349" s="254" t="str">
        <f t="shared" si="51"/>
        <v>-</v>
      </c>
      <c r="L349" s="254" t="str">
        <f t="shared" si="51"/>
        <v>-</v>
      </c>
      <c r="M349" s="254" t="str">
        <f t="shared" si="51"/>
        <v>-</v>
      </c>
      <c r="N349" s="255"/>
    </row>
    <row r="350" spans="1:14" s="256" customFormat="1" hidden="1" outlineLevel="2">
      <c r="A350" s="178"/>
      <c r="B350" s="257" t="s">
        <v>192</v>
      </c>
      <c r="C350" s="253" t="s">
        <v>170</v>
      </c>
      <c r="D350" s="173">
        <v>-2</v>
      </c>
      <c r="E350" s="252">
        <v>3.6</v>
      </c>
      <c r="F350" s="252"/>
      <c r="G350" s="254" t="str">
        <f t="shared" si="51"/>
        <v>-</v>
      </c>
      <c r="H350" s="254" t="str">
        <f t="shared" si="51"/>
        <v>-</v>
      </c>
      <c r="I350" s="254" t="str">
        <f t="shared" si="51"/>
        <v>-</v>
      </c>
      <c r="J350" s="254" t="str">
        <f t="shared" si="51"/>
        <v>-</v>
      </c>
      <c r="K350" s="254" t="str">
        <f t="shared" si="51"/>
        <v>-</v>
      </c>
      <c r="L350" s="254" t="str">
        <f t="shared" si="51"/>
        <v>-</v>
      </c>
      <c r="M350" s="254" t="str">
        <f t="shared" si="51"/>
        <v>-</v>
      </c>
      <c r="N350" s="255"/>
    </row>
    <row r="351" spans="1:14" s="256" customFormat="1" hidden="1" outlineLevel="2">
      <c r="A351" s="178"/>
      <c r="B351" s="257" t="s">
        <v>195</v>
      </c>
      <c r="C351" s="253" t="s">
        <v>170</v>
      </c>
      <c r="D351" s="173">
        <v>-1</v>
      </c>
      <c r="E351" s="252">
        <v>1.2</v>
      </c>
      <c r="F351" s="252"/>
      <c r="G351" s="254" t="str">
        <f t="shared" si="51"/>
        <v>-</v>
      </c>
      <c r="H351" s="254" t="str">
        <f t="shared" si="51"/>
        <v>-</v>
      </c>
      <c r="I351" s="254" t="str">
        <f t="shared" si="51"/>
        <v>-</v>
      </c>
      <c r="J351" s="254" t="str">
        <f t="shared" si="51"/>
        <v>-</v>
      </c>
      <c r="K351" s="254" t="str">
        <f t="shared" si="51"/>
        <v>-</v>
      </c>
      <c r="L351" s="254" t="str">
        <f t="shared" si="51"/>
        <v>-</v>
      </c>
      <c r="M351" s="254" t="str">
        <f t="shared" si="51"/>
        <v>-</v>
      </c>
      <c r="N351" s="255"/>
    </row>
    <row r="352" spans="1:14" s="256" customFormat="1" hidden="1" outlineLevel="2">
      <c r="A352" s="178"/>
      <c r="B352" s="252" t="s">
        <v>196</v>
      </c>
      <c r="C352" s="253" t="s">
        <v>173</v>
      </c>
      <c r="D352" s="173">
        <v>1</v>
      </c>
      <c r="E352" s="252">
        <f>6.4-0.18*2</f>
        <v>6.04</v>
      </c>
      <c r="F352" s="252"/>
      <c r="G352" s="254" t="str">
        <f t="shared" si="51"/>
        <v>-</v>
      </c>
      <c r="H352" s="254" t="str">
        <f t="shared" si="51"/>
        <v>-</v>
      </c>
      <c r="I352" s="254">
        <f t="shared" si="51"/>
        <v>6.04</v>
      </c>
      <c r="J352" s="254" t="str">
        <f t="shared" si="51"/>
        <v>-</v>
      </c>
      <c r="K352" s="254" t="str">
        <f t="shared" si="51"/>
        <v>-</v>
      </c>
      <c r="L352" s="254" t="str">
        <f t="shared" si="51"/>
        <v>-</v>
      </c>
      <c r="M352" s="254" t="str">
        <f t="shared" si="51"/>
        <v>-</v>
      </c>
      <c r="N352" s="255"/>
    </row>
    <row r="353" spans="1:14" s="256" customFormat="1" hidden="1" outlineLevel="2">
      <c r="A353" s="178"/>
      <c r="B353" s="252" t="s">
        <v>197</v>
      </c>
      <c r="C353" s="253" t="s">
        <v>175</v>
      </c>
      <c r="D353" s="173">
        <v>1</v>
      </c>
      <c r="E353" s="252">
        <f>0.3*0.6*2</f>
        <v>0.36</v>
      </c>
      <c r="F353" s="252"/>
      <c r="G353" s="254" t="str">
        <f t="shared" si="51"/>
        <v>-</v>
      </c>
      <c r="H353" s="254" t="str">
        <f t="shared" ref="G353:M364" si="53">IF($C353=H$5,PRODUCT($D353:$F353),"-")</f>
        <v>-</v>
      </c>
      <c r="I353" s="254" t="str">
        <f t="shared" si="53"/>
        <v>-</v>
      </c>
      <c r="J353" s="254">
        <f t="shared" si="53"/>
        <v>0.36</v>
      </c>
      <c r="K353" s="254" t="str">
        <f t="shared" si="53"/>
        <v>-</v>
      </c>
      <c r="L353" s="254" t="str">
        <f t="shared" si="53"/>
        <v>-</v>
      </c>
      <c r="M353" s="254" t="str">
        <f t="shared" si="53"/>
        <v>-</v>
      </c>
      <c r="N353" s="255"/>
    </row>
    <row r="354" spans="1:14" s="256" customFormat="1" hidden="1" outlineLevel="2">
      <c r="A354" s="178"/>
      <c r="B354" s="252" t="s">
        <v>198</v>
      </c>
      <c r="C354" s="253" t="s">
        <v>174</v>
      </c>
      <c r="D354" s="173">
        <v>1</v>
      </c>
      <c r="E354" s="252">
        <v>17.100000000000001</v>
      </c>
      <c r="F354" s="252">
        <v>2.2999999999999998</v>
      </c>
      <c r="G354" s="254" t="str">
        <f t="shared" si="53"/>
        <v>-</v>
      </c>
      <c r="H354" s="254" t="str">
        <f t="shared" si="53"/>
        <v>-</v>
      </c>
      <c r="I354" s="254" t="str">
        <f t="shared" si="53"/>
        <v>-</v>
      </c>
      <c r="J354" s="254" t="str">
        <f t="shared" si="53"/>
        <v>-</v>
      </c>
      <c r="K354" s="254" t="str">
        <f t="shared" si="53"/>
        <v>-</v>
      </c>
      <c r="L354" s="254" t="str">
        <f t="shared" si="53"/>
        <v>-</v>
      </c>
      <c r="M354" s="254" t="str">
        <f t="shared" si="53"/>
        <v>-</v>
      </c>
      <c r="N354" s="255"/>
    </row>
    <row r="355" spans="1:14" s="256" customFormat="1" hidden="1" outlineLevel="2">
      <c r="A355" s="178"/>
      <c r="B355" s="257" t="s">
        <v>241</v>
      </c>
      <c r="C355" s="253" t="s">
        <v>174</v>
      </c>
      <c r="D355" s="173">
        <v>-1</v>
      </c>
      <c r="E355" s="252">
        <v>0.8</v>
      </c>
      <c r="F355" s="252">
        <v>2.2200000000000002</v>
      </c>
      <c r="G355" s="254" t="str">
        <f t="shared" si="53"/>
        <v>-</v>
      </c>
      <c r="H355" s="254" t="str">
        <f t="shared" si="53"/>
        <v>-</v>
      </c>
      <c r="I355" s="254" t="str">
        <f t="shared" si="53"/>
        <v>-</v>
      </c>
      <c r="J355" s="254" t="str">
        <f t="shared" si="53"/>
        <v>-</v>
      </c>
      <c r="K355" s="254" t="str">
        <f t="shared" si="53"/>
        <v>-</v>
      </c>
      <c r="L355" s="254" t="str">
        <f t="shared" si="53"/>
        <v>-</v>
      </c>
      <c r="M355" s="254" t="str">
        <f t="shared" si="53"/>
        <v>-</v>
      </c>
      <c r="N355" s="255"/>
    </row>
    <row r="356" spans="1:14" s="256" customFormat="1" hidden="1" outlineLevel="2">
      <c r="A356" s="178"/>
      <c r="B356" s="257" t="s">
        <v>242</v>
      </c>
      <c r="C356" s="253" t="s">
        <v>174</v>
      </c>
      <c r="D356" s="173">
        <v>-1</v>
      </c>
      <c r="E356" s="252">
        <f>5.3-2.3</f>
        <v>3</v>
      </c>
      <c r="F356" s="252">
        <v>0.55000000000000004</v>
      </c>
      <c r="G356" s="254" t="str">
        <f t="shared" si="53"/>
        <v>-</v>
      </c>
      <c r="H356" s="254" t="str">
        <f t="shared" si="53"/>
        <v>-</v>
      </c>
      <c r="I356" s="254" t="str">
        <f t="shared" si="53"/>
        <v>-</v>
      </c>
      <c r="J356" s="254" t="str">
        <f t="shared" si="53"/>
        <v>-</v>
      </c>
      <c r="K356" s="254" t="str">
        <f t="shared" si="53"/>
        <v>-</v>
      </c>
      <c r="L356" s="254" t="str">
        <f t="shared" si="53"/>
        <v>-</v>
      </c>
      <c r="M356" s="254" t="str">
        <f t="shared" si="53"/>
        <v>-</v>
      </c>
      <c r="N356" s="255"/>
    </row>
    <row r="357" spans="1:14" s="256" customFormat="1" hidden="1" outlineLevel="2">
      <c r="A357" s="178"/>
      <c r="B357" s="257" t="s">
        <v>243</v>
      </c>
      <c r="C357" s="253" t="s">
        <v>174</v>
      </c>
      <c r="D357" s="173">
        <v>-1</v>
      </c>
      <c r="E357" s="252">
        <f>2.17+1.27</f>
        <v>3.44</v>
      </c>
      <c r="F357" s="252">
        <v>1.6</v>
      </c>
      <c r="G357" s="254" t="str">
        <f t="shared" si="53"/>
        <v>-</v>
      </c>
      <c r="H357" s="254" t="str">
        <f t="shared" si="53"/>
        <v>-</v>
      </c>
      <c r="I357" s="254" t="str">
        <f t="shared" si="53"/>
        <v>-</v>
      </c>
      <c r="J357" s="254" t="str">
        <f t="shared" si="53"/>
        <v>-</v>
      </c>
      <c r="K357" s="254" t="str">
        <f t="shared" si="53"/>
        <v>-</v>
      </c>
      <c r="L357" s="254" t="str">
        <f t="shared" si="53"/>
        <v>-</v>
      </c>
      <c r="M357" s="254" t="str">
        <f t="shared" si="53"/>
        <v>-</v>
      </c>
      <c r="N357" s="255"/>
    </row>
    <row r="358" spans="1:14" s="256" customFormat="1" hidden="1" outlineLevel="2">
      <c r="A358" s="178"/>
      <c r="B358" s="258" t="s">
        <v>201</v>
      </c>
      <c r="C358" s="253" t="s">
        <v>174</v>
      </c>
      <c r="D358" s="173">
        <v>1</v>
      </c>
      <c r="E358" s="252">
        <v>4.4000000000000004</v>
      </c>
      <c r="F358" s="252">
        <v>0.25</v>
      </c>
      <c r="G358" s="254" t="str">
        <f t="shared" si="53"/>
        <v>-</v>
      </c>
      <c r="H358" s="254" t="str">
        <f t="shared" si="53"/>
        <v>-</v>
      </c>
      <c r="I358" s="254" t="str">
        <f t="shared" si="53"/>
        <v>-</v>
      </c>
      <c r="J358" s="254" t="str">
        <f t="shared" si="53"/>
        <v>-</v>
      </c>
      <c r="K358" s="254" t="str">
        <f t="shared" si="53"/>
        <v>-</v>
      </c>
      <c r="L358" s="254" t="str">
        <f t="shared" si="53"/>
        <v>-</v>
      </c>
      <c r="M358" s="254" t="str">
        <f t="shared" si="53"/>
        <v>-</v>
      </c>
      <c r="N358" s="255"/>
    </row>
    <row r="359" spans="1:14" s="256" customFormat="1" hidden="1" outlineLevel="2">
      <c r="A359" s="178"/>
      <c r="B359" s="252" t="s">
        <v>202</v>
      </c>
      <c r="C359" s="253" t="s">
        <v>176</v>
      </c>
      <c r="D359" s="173">
        <v>1</v>
      </c>
      <c r="E359" s="252">
        <v>2.15</v>
      </c>
      <c r="F359" s="252">
        <v>1.1499999999999999</v>
      </c>
      <c r="G359" s="254" t="str">
        <f t="shared" si="53"/>
        <v>-</v>
      </c>
      <c r="H359" s="254" t="str">
        <f t="shared" si="53"/>
        <v>-</v>
      </c>
      <c r="I359" s="254" t="str">
        <f t="shared" si="53"/>
        <v>-</v>
      </c>
      <c r="J359" s="254" t="str">
        <f t="shared" si="53"/>
        <v>-</v>
      </c>
      <c r="K359" s="254" t="str">
        <f t="shared" si="53"/>
        <v>-</v>
      </c>
      <c r="L359" s="254" t="str">
        <f t="shared" si="53"/>
        <v>-</v>
      </c>
      <c r="M359" s="254" t="str">
        <f t="shared" si="53"/>
        <v>-</v>
      </c>
      <c r="N359" s="255"/>
    </row>
    <row r="360" spans="1:14" s="256" customFormat="1" hidden="1" outlineLevel="2">
      <c r="A360" s="178"/>
      <c r="B360" s="257" t="s">
        <v>203</v>
      </c>
      <c r="C360" s="253" t="s">
        <v>176</v>
      </c>
      <c r="D360" s="173">
        <v>-1</v>
      </c>
      <c r="E360" s="252">
        <v>1.65</v>
      </c>
      <c r="F360" s="252">
        <v>0.7</v>
      </c>
      <c r="G360" s="254" t="str">
        <f t="shared" si="53"/>
        <v>-</v>
      </c>
      <c r="H360" s="254" t="str">
        <f t="shared" si="53"/>
        <v>-</v>
      </c>
      <c r="I360" s="254" t="str">
        <f t="shared" si="53"/>
        <v>-</v>
      </c>
      <c r="J360" s="254" t="str">
        <f t="shared" si="53"/>
        <v>-</v>
      </c>
      <c r="K360" s="254" t="str">
        <f t="shared" si="53"/>
        <v>-</v>
      </c>
      <c r="L360" s="254" t="str">
        <f t="shared" si="53"/>
        <v>-</v>
      </c>
      <c r="M360" s="254" t="str">
        <f t="shared" si="53"/>
        <v>-</v>
      </c>
      <c r="N360" s="255"/>
    </row>
    <row r="361" spans="1:14" s="256" customFormat="1" hidden="1" outlineLevel="2">
      <c r="A361" s="178"/>
      <c r="B361" s="252" t="s">
        <v>252</v>
      </c>
      <c r="C361" s="253" t="s">
        <v>177</v>
      </c>
      <c r="D361" s="173">
        <v>1</v>
      </c>
      <c r="E361" s="252"/>
      <c r="F361" s="252"/>
      <c r="G361" s="254" t="str">
        <f t="shared" si="53"/>
        <v>-</v>
      </c>
      <c r="H361" s="254" t="str">
        <f t="shared" si="53"/>
        <v>-</v>
      </c>
      <c r="I361" s="254" t="str">
        <f t="shared" si="53"/>
        <v>-</v>
      </c>
      <c r="J361" s="254" t="str">
        <f t="shared" si="53"/>
        <v>-</v>
      </c>
      <c r="K361" s="254">
        <f t="shared" si="53"/>
        <v>1</v>
      </c>
      <c r="L361" s="254" t="str">
        <f t="shared" si="53"/>
        <v>-</v>
      </c>
      <c r="M361" s="254" t="str">
        <f t="shared" si="53"/>
        <v>-</v>
      </c>
      <c r="N361" s="255"/>
    </row>
    <row r="362" spans="1:14" s="256" customFormat="1" hidden="1" outlineLevel="2">
      <c r="A362" s="178"/>
      <c r="B362" s="252" t="s">
        <v>208</v>
      </c>
      <c r="C362" s="253" t="s">
        <v>179</v>
      </c>
      <c r="D362" s="173">
        <v>1</v>
      </c>
      <c r="E362" s="252"/>
      <c r="F362" s="252"/>
      <c r="G362" s="254" t="str">
        <f t="shared" si="53"/>
        <v>-</v>
      </c>
      <c r="H362" s="254" t="str">
        <f t="shared" si="53"/>
        <v>-</v>
      </c>
      <c r="I362" s="254" t="str">
        <f t="shared" si="53"/>
        <v>-</v>
      </c>
      <c r="J362" s="254" t="str">
        <f t="shared" si="53"/>
        <v>-</v>
      </c>
      <c r="K362" s="254" t="str">
        <f t="shared" si="53"/>
        <v>-</v>
      </c>
      <c r="L362" s="254" t="str">
        <f t="shared" si="53"/>
        <v>-</v>
      </c>
      <c r="M362" s="254">
        <f t="shared" si="53"/>
        <v>1</v>
      </c>
      <c r="N362" s="255"/>
    </row>
    <row r="363" spans="1:14" s="256" customFormat="1" hidden="1" outlineLevel="2">
      <c r="A363" s="178"/>
      <c r="B363" s="252" t="s">
        <v>205</v>
      </c>
      <c r="C363" s="253" t="s">
        <v>178</v>
      </c>
      <c r="D363" s="173">
        <v>1</v>
      </c>
      <c r="E363" s="252"/>
      <c r="F363" s="252"/>
      <c r="G363" s="254" t="str">
        <f t="shared" si="53"/>
        <v>-</v>
      </c>
      <c r="H363" s="254" t="str">
        <f t="shared" si="53"/>
        <v>-</v>
      </c>
      <c r="I363" s="254" t="str">
        <f t="shared" si="53"/>
        <v>-</v>
      </c>
      <c r="J363" s="254" t="str">
        <f t="shared" si="53"/>
        <v>-</v>
      </c>
      <c r="K363" s="254" t="str">
        <f t="shared" si="53"/>
        <v>-</v>
      </c>
      <c r="L363" s="254">
        <f t="shared" si="53"/>
        <v>1</v>
      </c>
      <c r="M363" s="254" t="str">
        <f t="shared" si="53"/>
        <v>-</v>
      </c>
      <c r="N363" s="255"/>
    </row>
    <row r="364" spans="1:14" s="256" customFormat="1" hidden="1" outlineLevel="2">
      <c r="A364" s="259"/>
      <c r="B364" s="252"/>
      <c r="C364" s="253"/>
      <c r="D364" s="173"/>
      <c r="E364" s="252"/>
      <c r="F364" s="252"/>
      <c r="G364" s="254" t="str">
        <f t="shared" si="53"/>
        <v>-</v>
      </c>
      <c r="H364" s="254" t="str">
        <f t="shared" si="53"/>
        <v>-</v>
      </c>
      <c r="I364" s="254" t="str">
        <f t="shared" si="53"/>
        <v>-</v>
      </c>
      <c r="J364" s="254" t="str">
        <f t="shared" si="53"/>
        <v>-</v>
      </c>
      <c r="K364" s="254" t="str">
        <f t="shared" si="53"/>
        <v>-</v>
      </c>
      <c r="L364" s="254" t="str">
        <f t="shared" si="53"/>
        <v>-</v>
      </c>
      <c r="M364" s="254" t="str">
        <f t="shared" si="53"/>
        <v>-</v>
      </c>
      <c r="N364" s="255"/>
    </row>
    <row r="365" spans="1:14" s="256" customFormat="1" hidden="1" outlineLevel="1">
      <c r="A365" s="260"/>
      <c r="B365" s="261" t="s">
        <v>209</v>
      </c>
      <c r="C365" s="260"/>
      <c r="D365" s="262">
        <v>1</v>
      </c>
      <c r="E365" s="263"/>
      <c r="F365" s="263"/>
      <c r="G365" s="264">
        <f t="shared" ref="G365:M365" si="54">G$53</f>
        <v>20.2</v>
      </c>
      <c r="H365" s="264">
        <f t="shared" si="54"/>
        <v>5.9</v>
      </c>
      <c r="I365" s="264">
        <f t="shared" si="54"/>
        <v>21.6</v>
      </c>
      <c r="J365" s="264">
        <f t="shared" si="54"/>
        <v>0.36</v>
      </c>
      <c r="K365" s="264">
        <f t="shared" si="54"/>
        <v>1</v>
      </c>
      <c r="L365" s="264">
        <f t="shared" si="54"/>
        <v>1</v>
      </c>
      <c r="M365" s="264">
        <f t="shared" si="54"/>
        <v>0</v>
      </c>
      <c r="N365" s="265" t="s">
        <v>253</v>
      </c>
    </row>
    <row r="366" spans="1:14" s="256" customFormat="1" hidden="1" outlineLevel="1">
      <c r="A366" s="260"/>
      <c r="B366" s="261" t="s">
        <v>210</v>
      </c>
      <c r="C366" s="260"/>
      <c r="D366" s="262">
        <v>1</v>
      </c>
      <c r="E366" s="263"/>
      <c r="F366" s="263"/>
      <c r="G366" s="264">
        <f t="shared" ref="G366:M366" si="55">G$74</f>
        <v>20.2</v>
      </c>
      <c r="H366" s="264">
        <f t="shared" si="55"/>
        <v>6.3</v>
      </c>
      <c r="I366" s="264">
        <f t="shared" si="55"/>
        <v>4.04</v>
      </c>
      <c r="J366" s="264">
        <f t="shared" si="55"/>
        <v>0.36</v>
      </c>
      <c r="K366" s="264">
        <f t="shared" si="55"/>
        <v>1</v>
      </c>
      <c r="L366" s="264">
        <f t="shared" si="55"/>
        <v>1</v>
      </c>
      <c r="M366" s="264">
        <f t="shared" si="55"/>
        <v>0</v>
      </c>
      <c r="N366" s="265" t="s">
        <v>254</v>
      </c>
    </row>
    <row r="367" spans="1:14" s="256" customFormat="1" hidden="1" outlineLevel="1">
      <c r="A367" s="260"/>
      <c r="B367" s="261" t="s">
        <v>211</v>
      </c>
      <c r="C367" s="260"/>
      <c r="D367" s="262">
        <v>1</v>
      </c>
      <c r="E367" s="263"/>
      <c r="F367" s="263"/>
      <c r="G367" s="264">
        <f t="shared" ref="G367:M367" si="56">G$95</f>
        <v>23.3</v>
      </c>
      <c r="H367" s="264">
        <f t="shared" si="56"/>
        <v>4.4000000000000004</v>
      </c>
      <c r="I367" s="264">
        <f t="shared" si="56"/>
        <v>2.6</v>
      </c>
      <c r="J367" s="264">
        <f t="shared" si="56"/>
        <v>0</v>
      </c>
      <c r="K367" s="264">
        <f t="shared" si="56"/>
        <v>1</v>
      </c>
      <c r="L367" s="264">
        <f t="shared" si="56"/>
        <v>1</v>
      </c>
      <c r="M367" s="264">
        <f t="shared" si="56"/>
        <v>0</v>
      </c>
      <c r="N367" s="265" t="s">
        <v>255</v>
      </c>
    </row>
    <row r="368" spans="1:14" s="256" customFormat="1" hidden="1" outlineLevel="1">
      <c r="A368" s="260"/>
      <c r="B368" s="261" t="s">
        <v>256</v>
      </c>
      <c r="C368" s="260"/>
      <c r="D368" s="262" t="s">
        <v>217</v>
      </c>
      <c r="E368" s="263"/>
      <c r="F368" s="263"/>
      <c r="G368" s="264">
        <f t="shared" ref="G368:M369" si="57">SUM(G$115,G$136,G$150)</f>
        <v>81.900000000000006</v>
      </c>
      <c r="H368" s="264">
        <f t="shared" si="57"/>
        <v>27.2</v>
      </c>
      <c r="I368" s="264">
        <f t="shared" si="57"/>
        <v>16.86</v>
      </c>
      <c r="J368" s="264">
        <f t="shared" si="57"/>
        <v>1.08</v>
      </c>
      <c r="K368" s="264">
        <f t="shared" si="57"/>
        <v>4</v>
      </c>
      <c r="L368" s="264">
        <f t="shared" si="57"/>
        <v>4</v>
      </c>
      <c r="M368" s="264">
        <f t="shared" si="57"/>
        <v>0</v>
      </c>
      <c r="N368" s="265" t="s">
        <v>257</v>
      </c>
    </row>
    <row r="369" spans="1:14" s="236" customFormat="1" ht="15" hidden="1" outlineLevel="1">
      <c r="A369" s="260"/>
      <c r="B369" s="261" t="s">
        <v>216</v>
      </c>
      <c r="C369" s="260"/>
      <c r="D369" s="262" t="s">
        <v>217</v>
      </c>
      <c r="E369" s="263"/>
      <c r="F369" s="263"/>
      <c r="G369" s="264">
        <f t="shared" si="57"/>
        <v>81.900000000000006</v>
      </c>
      <c r="H369" s="264">
        <f t="shared" si="57"/>
        <v>27.2</v>
      </c>
      <c r="I369" s="264">
        <f t="shared" si="57"/>
        <v>16.86</v>
      </c>
      <c r="J369" s="264">
        <f t="shared" si="57"/>
        <v>1.08</v>
      </c>
      <c r="K369" s="264">
        <f t="shared" si="57"/>
        <v>4</v>
      </c>
      <c r="L369" s="264">
        <f t="shared" si="57"/>
        <v>4</v>
      </c>
      <c r="M369" s="264">
        <f t="shared" si="57"/>
        <v>0</v>
      </c>
      <c r="N369" s="265" t="s">
        <v>258</v>
      </c>
    </row>
    <row r="370" spans="1:14" s="251" customFormat="1" ht="15" hidden="1" outlineLevel="1" collapsed="1">
      <c r="A370" s="245"/>
      <c r="B370" s="246" t="s">
        <v>219</v>
      </c>
      <c r="C370" s="245"/>
      <c r="D370" s="247">
        <v>1</v>
      </c>
      <c r="E370" s="248"/>
      <c r="F370" s="248"/>
      <c r="G370" s="249">
        <f>SUBTOTAL(9,G371:G390)</f>
        <v>20.399999999999999</v>
      </c>
      <c r="H370" s="249">
        <f t="shared" ref="H370:M370" si="58">SUBTOTAL(9,H371:H390)</f>
        <v>5</v>
      </c>
      <c r="I370" s="249">
        <f t="shared" si="58"/>
        <v>4.34</v>
      </c>
      <c r="J370" s="249">
        <f t="shared" si="58"/>
        <v>0.36</v>
      </c>
      <c r="K370" s="249">
        <f t="shared" si="58"/>
        <v>1</v>
      </c>
      <c r="L370" s="249">
        <f t="shared" si="58"/>
        <v>1</v>
      </c>
      <c r="M370" s="249">
        <f t="shared" si="58"/>
        <v>0</v>
      </c>
      <c r="N370" s="250"/>
    </row>
    <row r="371" spans="1:14" s="256" customFormat="1" hidden="1" outlineLevel="2">
      <c r="A371" s="178"/>
      <c r="B371" s="252" t="s">
        <v>189</v>
      </c>
      <c r="C371" s="253" t="s">
        <v>169</v>
      </c>
      <c r="D371" s="173">
        <v>1</v>
      </c>
      <c r="E371" s="252">
        <v>20.399999999999999</v>
      </c>
      <c r="F371" s="252"/>
      <c r="G371" s="254">
        <f t="shared" ref="G371:M395" si="59">IF($C371=G$5,PRODUCT($D371:$F371),"-")</f>
        <v>20.399999999999999</v>
      </c>
      <c r="H371" s="254" t="str">
        <f t="shared" si="59"/>
        <v>-</v>
      </c>
      <c r="I371" s="254" t="str">
        <f t="shared" si="59"/>
        <v>-</v>
      </c>
      <c r="J371" s="254" t="str">
        <f t="shared" si="59"/>
        <v>-</v>
      </c>
      <c r="K371" s="254" t="str">
        <f t="shared" si="59"/>
        <v>-</v>
      </c>
      <c r="L371" s="254" t="str">
        <f t="shared" si="59"/>
        <v>-</v>
      </c>
      <c r="M371" s="254" t="str">
        <f t="shared" si="59"/>
        <v>-</v>
      </c>
      <c r="N371" s="255"/>
    </row>
    <row r="372" spans="1:14" s="256" customFormat="1" hidden="1" outlineLevel="2">
      <c r="A372" s="178"/>
      <c r="B372" s="252" t="s">
        <v>190</v>
      </c>
      <c r="C372" s="253" t="s">
        <v>170</v>
      </c>
      <c r="D372" s="173">
        <v>1</v>
      </c>
      <c r="E372" s="252">
        <v>19.8</v>
      </c>
      <c r="F372" s="252"/>
      <c r="G372" s="254" t="str">
        <f t="shared" si="59"/>
        <v>-</v>
      </c>
      <c r="H372" s="254" t="str">
        <f t="shared" si="59"/>
        <v>-</v>
      </c>
      <c r="I372" s="254" t="str">
        <f t="shared" si="59"/>
        <v>-</v>
      </c>
      <c r="J372" s="254" t="str">
        <f t="shared" si="59"/>
        <v>-</v>
      </c>
      <c r="K372" s="254" t="str">
        <f t="shared" si="59"/>
        <v>-</v>
      </c>
      <c r="L372" s="254" t="str">
        <f t="shared" si="59"/>
        <v>-</v>
      </c>
      <c r="M372" s="254" t="str">
        <f t="shared" si="59"/>
        <v>-</v>
      </c>
      <c r="N372" s="255"/>
    </row>
    <row r="373" spans="1:14" s="256" customFormat="1" hidden="1" outlineLevel="2">
      <c r="A373" s="178"/>
      <c r="B373" s="257" t="s">
        <v>191</v>
      </c>
      <c r="C373" s="253" t="s">
        <v>170</v>
      </c>
      <c r="D373" s="173">
        <v>-1</v>
      </c>
      <c r="E373" s="252">
        <v>1.2</v>
      </c>
      <c r="F373" s="252"/>
      <c r="G373" s="254" t="str">
        <f t="shared" si="59"/>
        <v>-</v>
      </c>
      <c r="H373" s="254" t="str">
        <f t="shared" si="59"/>
        <v>-</v>
      </c>
      <c r="I373" s="254" t="str">
        <f t="shared" si="59"/>
        <v>-</v>
      </c>
      <c r="J373" s="254" t="str">
        <f t="shared" si="59"/>
        <v>-</v>
      </c>
      <c r="K373" s="254" t="str">
        <f t="shared" si="59"/>
        <v>-</v>
      </c>
      <c r="L373" s="254" t="str">
        <f t="shared" si="59"/>
        <v>-</v>
      </c>
      <c r="M373" s="254" t="str">
        <f t="shared" si="59"/>
        <v>-</v>
      </c>
      <c r="N373" s="255"/>
    </row>
    <row r="374" spans="1:14" s="256" customFormat="1" hidden="1" outlineLevel="2">
      <c r="A374" s="178"/>
      <c r="B374" s="257" t="s">
        <v>192</v>
      </c>
      <c r="C374" s="253" t="s">
        <v>170</v>
      </c>
      <c r="D374" s="173">
        <v>-1</v>
      </c>
      <c r="E374" s="252">
        <v>3.2</v>
      </c>
      <c r="F374" s="252"/>
      <c r="G374" s="254" t="str">
        <f t="shared" si="59"/>
        <v>-</v>
      </c>
      <c r="H374" s="254" t="str">
        <f t="shared" si="59"/>
        <v>-</v>
      </c>
      <c r="I374" s="254" t="str">
        <f t="shared" si="59"/>
        <v>-</v>
      </c>
      <c r="J374" s="254" t="str">
        <f t="shared" si="59"/>
        <v>-</v>
      </c>
      <c r="K374" s="254" t="str">
        <f t="shared" si="59"/>
        <v>-</v>
      </c>
      <c r="L374" s="254" t="str">
        <f t="shared" si="59"/>
        <v>-</v>
      </c>
      <c r="M374" s="254" t="str">
        <f t="shared" si="59"/>
        <v>-</v>
      </c>
      <c r="N374" s="255"/>
    </row>
    <row r="375" spans="1:14" s="256" customFormat="1" hidden="1" outlineLevel="2">
      <c r="A375" s="178"/>
      <c r="B375" s="252" t="s">
        <v>193</v>
      </c>
      <c r="C375" s="253" t="s">
        <v>171</v>
      </c>
      <c r="D375" s="173">
        <v>1</v>
      </c>
      <c r="E375" s="252">
        <v>5</v>
      </c>
      <c r="F375" s="252"/>
      <c r="G375" s="254" t="str">
        <f t="shared" si="59"/>
        <v>-</v>
      </c>
      <c r="H375" s="254">
        <f t="shared" si="59"/>
        <v>5</v>
      </c>
      <c r="I375" s="254" t="str">
        <f t="shared" si="59"/>
        <v>-</v>
      </c>
      <c r="J375" s="254" t="str">
        <f t="shared" si="59"/>
        <v>-</v>
      </c>
      <c r="K375" s="254" t="str">
        <f t="shared" si="59"/>
        <v>-</v>
      </c>
      <c r="L375" s="254" t="str">
        <f t="shared" si="59"/>
        <v>-</v>
      </c>
      <c r="M375" s="254" t="str">
        <f t="shared" si="59"/>
        <v>-</v>
      </c>
      <c r="N375" s="255"/>
    </row>
    <row r="376" spans="1:14" s="256" customFormat="1" hidden="1" outlineLevel="2">
      <c r="A376" s="178"/>
      <c r="B376" s="252" t="s">
        <v>194</v>
      </c>
      <c r="C376" s="253" t="s">
        <v>172</v>
      </c>
      <c r="D376" s="173">
        <v>1</v>
      </c>
      <c r="E376" s="252">
        <v>11</v>
      </c>
      <c r="F376" s="252"/>
      <c r="G376" s="254" t="str">
        <f t="shared" si="59"/>
        <v>-</v>
      </c>
      <c r="H376" s="254" t="str">
        <f t="shared" si="59"/>
        <v>-</v>
      </c>
      <c r="I376" s="254" t="str">
        <f t="shared" si="59"/>
        <v>-</v>
      </c>
      <c r="J376" s="254" t="str">
        <f t="shared" si="59"/>
        <v>-</v>
      </c>
      <c r="K376" s="254" t="str">
        <f t="shared" si="59"/>
        <v>-</v>
      </c>
      <c r="L376" s="254" t="str">
        <f t="shared" si="59"/>
        <v>-</v>
      </c>
      <c r="M376" s="254" t="str">
        <f t="shared" si="59"/>
        <v>-</v>
      </c>
      <c r="N376" s="255"/>
    </row>
    <row r="377" spans="1:14" s="256" customFormat="1" hidden="1" outlineLevel="2">
      <c r="A377" s="178"/>
      <c r="B377" s="257" t="s">
        <v>191</v>
      </c>
      <c r="C377" s="253" t="s">
        <v>172</v>
      </c>
      <c r="D377" s="173">
        <v>-1</v>
      </c>
      <c r="E377" s="252">
        <f>0.2+0.8*2</f>
        <v>1.8</v>
      </c>
      <c r="F377" s="252"/>
      <c r="G377" s="254" t="str">
        <f t="shared" si="59"/>
        <v>-</v>
      </c>
      <c r="H377" s="254" t="str">
        <f t="shared" si="59"/>
        <v>-</v>
      </c>
      <c r="I377" s="254" t="str">
        <f t="shared" si="59"/>
        <v>-</v>
      </c>
      <c r="J377" s="254" t="str">
        <f t="shared" si="59"/>
        <v>-</v>
      </c>
      <c r="K377" s="254" t="str">
        <f t="shared" si="59"/>
        <v>-</v>
      </c>
      <c r="L377" s="254" t="str">
        <f t="shared" si="59"/>
        <v>-</v>
      </c>
      <c r="M377" s="254" t="str">
        <f t="shared" si="59"/>
        <v>-</v>
      </c>
      <c r="N377" s="255"/>
    </row>
    <row r="378" spans="1:14" s="256" customFormat="1" hidden="1" outlineLevel="2">
      <c r="A378" s="178"/>
      <c r="B378" s="257" t="s">
        <v>195</v>
      </c>
      <c r="C378" s="253" t="s">
        <v>172</v>
      </c>
      <c r="D378" s="173">
        <v>-1</v>
      </c>
      <c r="E378" s="252">
        <v>2.5</v>
      </c>
      <c r="F378" s="252"/>
      <c r="G378" s="254" t="str">
        <f t="shared" si="59"/>
        <v>-</v>
      </c>
      <c r="H378" s="254" t="str">
        <f t="shared" si="59"/>
        <v>-</v>
      </c>
      <c r="I378" s="254" t="str">
        <f t="shared" si="59"/>
        <v>-</v>
      </c>
      <c r="J378" s="254" t="str">
        <f t="shared" si="59"/>
        <v>-</v>
      </c>
      <c r="K378" s="254" t="str">
        <f t="shared" si="59"/>
        <v>-</v>
      </c>
      <c r="L378" s="254" t="str">
        <f t="shared" si="59"/>
        <v>-</v>
      </c>
      <c r="M378" s="254" t="str">
        <f t="shared" si="59"/>
        <v>-</v>
      </c>
      <c r="N378" s="255"/>
    </row>
    <row r="379" spans="1:14" s="256" customFormat="1" hidden="1" outlineLevel="2">
      <c r="A379" s="178"/>
      <c r="B379" s="252" t="s">
        <v>196</v>
      </c>
      <c r="C379" s="253" t="s">
        <v>173</v>
      </c>
      <c r="D379" s="173">
        <v>1</v>
      </c>
      <c r="E379" s="252">
        <f>4.7-0.18*2</f>
        <v>4.34</v>
      </c>
      <c r="F379" s="252"/>
      <c r="G379" s="254" t="str">
        <f t="shared" si="59"/>
        <v>-</v>
      </c>
      <c r="H379" s="254" t="str">
        <f t="shared" si="59"/>
        <v>-</v>
      </c>
      <c r="I379" s="254">
        <f t="shared" si="59"/>
        <v>4.34</v>
      </c>
      <c r="J379" s="254" t="str">
        <f t="shared" si="59"/>
        <v>-</v>
      </c>
      <c r="K379" s="254" t="str">
        <f t="shared" si="59"/>
        <v>-</v>
      </c>
      <c r="L379" s="254" t="str">
        <f t="shared" si="59"/>
        <v>-</v>
      </c>
      <c r="M379" s="254" t="str">
        <f t="shared" si="59"/>
        <v>-</v>
      </c>
      <c r="N379" s="255"/>
    </row>
    <row r="380" spans="1:14" s="256" customFormat="1" hidden="1" outlineLevel="2">
      <c r="A380" s="178"/>
      <c r="B380" s="252" t="s">
        <v>197</v>
      </c>
      <c r="C380" s="253" t="s">
        <v>175</v>
      </c>
      <c r="D380" s="173">
        <v>1</v>
      </c>
      <c r="E380" s="252">
        <f>0.3*0.6*2</f>
        <v>0.36</v>
      </c>
      <c r="F380" s="252"/>
      <c r="G380" s="254" t="str">
        <f t="shared" si="59"/>
        <v>-</v>
      </c>
      <c r="H380" s="254" t="str">
        <f t="shared" si="59"/>
        <v>-</v>
      </c>
      <c r="I380" s="254" t="str">
        <f t="shared" si="59"/>
        <v>-</v>
      </c>
      <c r="J380" s="254">
        <f t="shared" si="59"/>
        <v>0.36</v>
      </c>
      <c r="K380" s="254" t="str">
        <f t="shared" si="59"/>
        <v>-</v>
      </c>
      <c r="L380" s="254" t="str">
        <f t="shared" si="59"/>
        <v>-</v>
      </c>
      <c r="M380" s="254" t="str">
        <f t="shared" si="59"/>
        <v>-</v>
      </c>
      <c r="N380" s="255"/>
    </row>
    <row r="381" spans="1:14" s="256" customFormat="1" hidden="1" outlineLevel="2">
      <c r="A381" s="178"/>
      <c r="B381" s="252" t="s">
        <v>198</v>
      </c>
      <c r="C381" s="253" t="s">
        <v>174</v>
      </c>
      <c r="D381" s="173">
        <v>1</v>
      </c>
      <c r="E381" s="252">
        <v>12.4</v>
      </c>
      <c r="F381" s="252">
        <v>2.2999999999999998</v>
      </c>
      <c r="G381" s="254" t="str">
        <f t="shared" si="59"/>
        <v>-</v>
      </c>
      <c r="H381" s="254" t="str">
        <f t="shared" si="59"/>
        <v>-</v>
      </c>
      <c r="I381" s="254" t="str">
        <f t="shared" si="59"/>
        <v>-</v>
      </c>
      <c r="J381" s="254" t="str">
        <f t="shared" si="59"/>
        <v>-</v>
      </c>
      <c r="K381" s="254" t="str">
        <f t="shared" si="59"/>
        <v>-</v>
      </c>
      <c r="L381" s="254" t="str">
        <f t="shared" si="59"/>
        <v>-</v>
      </c>
      <c r="M381" s="254" t="str">
        <f t="shared" si="59"/>
        <v>-</v>
      </c>
      <c r="N381" s="255"/>
    </row>
    <row r="382" spans="1:14" s="256" customFormat="1" hidden="1" outlineLevel="2">
      <c r="A382" s="178"/>
      <c r="B382" s="257" t="s">
        <v>212</v>
      </c>
      <c r="C382" s="253" t="s">
        <v>174</v>
      </c>
      <c r="D382" s="173">
        <v>-1</v>
      </c>
      <c r="E382" s="252">
        <v>0.8</v>
      </c>
      <c r="F382" s="252">
        <v>2.2200000000000002</v>
      </c>
      <c r="G382" s="254" t="str">
        <f t="shared" si="59"/>
        <v>-</v>
      </c>
      <c r="H382" s="254" t="str">
        <f t="shared" si="59"/>
        <v>-</v>
      </c>
      <c r="I382" s="254" t="str">
        <f t="shared" si="59"/>
        <v>-</v>
      </c>
      <c r="J382" s="254" t="str">
        <f t="shared" si="59"/>
        <v>-</v>
      </c>
      <c r="K382" s="254" t="str">
        <f t="shared" si="59"/>
        <v>-</v>
      </c>
      <c r="L382" s="254" t="str">
        <f t="shared" si="59"/>
        <v>-</v>
      </c>
      <c r="M382" s="254" t="str">
        <f t="shared" si="59"/>
        <v>-</v>
      </c>
      <c r="N382" s="255"/>
    </row>
    <row r="383" spans="1:14" s="256" customFormat="1" hidden="1" outlineLevel="2">
      <c r="A383" s="178"/>
      <c r="B383" s="257" t="s">
        <v>199</v>
      </c>
      <c r="C383" s="253" t="s">
        <v>174</v>
      </c>
      <c r="D383" s="173">
        <v>-1</v>
      </c>
      <c r="E383" s="252">
        <v>1.8</v>
      </c>
      <c r="F383" s="252">
        <v>1.75</v>
      </c>
      <c r="G383" s="254" t="str">
        <f t="shared" si="59"/>
        <v>-</v>
      </c>
      <c r="H383" s="254" t="str">
        <f t="shared" si="59"/>
        <v>-</v>
      </c>
      <c r="I383" s="254" t="str">
        <f t="shared" si="59"/>
        <v>-</v>
      </c>
      <c r="J383" s="254" t="str">
        <f t="shared" si="59"/>
        <v>-</v>
      </c>
      <c r="K383" s="254" t="str">
        <f t="shared" si="59"/>
        <v>-</v>
      </c>
      <c r="L383" s="254" t="str">
        <f t="shared" si="59"/>
        <v>-</v>
      </c>
      <c r="M383" s="254" t="str">
        <f t="shared" si="59"/>
        <v>-</v>
      </c>
      <c r="N383" s="255"/>
    </row>
    <row r="384" spans="1:14" s="256" customFormat="1" hidden="1" outlineLevel="2">
      <c r="A384" s="178"/>
      <c r="B384" s="257" t="s">
        <v>200</v>
      </c>
      <c r="C384" s="253" t="s">
        <v>174</v>
      </c>
      <c r="D384" s="173">
        <v>-2</v>
      </c>
      <c r="E384" s="252">
        <v>0.85</v>
      </c>
      <c r="F384" s="252">
        <v>0.55000000000000004</v>
      </c>
      <c r="G384" s="254" t="str">
        <f t="shared" si="59"/>
        <v>-</v>
      </c>
      <c r="H384" s="254" t="str">
        <f t="shared" si="59"/>
        <v>-</v>
      </c>
      <c r="I384" s="254" t="str">
        <f t="shared" si="59"/>
        <v>-</v>
      </c>
      <c r="J384" s="254" t="str">
        <f t="shared" si="59"/>
        <v>-</v>
      </c>
      <c r="K384" s="254" t="str">
        <f t="shared" si="59"/>
        <v>-</v>
      </c>
      <c r="L384" s="254" t="str">
        <f t="shared" si="59"/>
        <v>-</v>
      </c>
      <c r="M384" s="254" t="str">
        <f t="shared" si="59"/>
        <v>-</v>
      </c>
      <c r="N384" s="255"/>
    </row>
    <row r="385" spans="1:14" s="256" customFormat="1" hidden="1" outlineLevel="2">
      <c r="A385" s="178"/>
      <c r="B385" s="258" t="s">
        <v>201</v>
      </c>
      <c r="C385" s="253" t="s">
        <v>174</v>
      </c>
      <c r="D385" s="173">
        <v>1</v>
      </c>
      <c r="E385" s="252">
        <v>2.15</v>
      </c>
      <c r="F385" s="252">
        <v>0.25</v>
      </c>
      <c r="G385" s="254" t="str">
        <f t="shared" si="59"/>
        <v>-</v>
      </c>
      <c r="H385" s="254" t="str">
        <f t="shared" si="59"/>
        <v>-</v>
      </c>
      <c r="I385" s="254" t="str">
        <f t="shared" si="59"/>
        <v>-</v>
      </c>
      <c r="J385" s="254" t="str">
        <f t="shared" si="59"/>
        <v>-</v>
      </c>
      <c r="K385" s="254" t="str">
        <f t="shared" si="59"/>
        <v>-</v>
      </c>
      <c r="L385" s="254" t="str">
        <f t="shared" si="59"/>
        <v>-</v>
      </c>
      <c r="M385" s="254" t="str">
        <f t="shared" si="59"/>
        <v>-</v>
      </c>
      <c r="N385" s="255"/>
    </row>
    <row r="386" spans="1:14" s="256" customFormat="1" hidden="1" outlineLevel="2">
      <c r="A386" s="178"/>
      <c r="B386" s="252" t="s">
        <v>202</v>
      </c>
      <c r="C386" s="253" t="s">
        <v>176</v>
      </c>
      <c r="D386" s="173">
        <v>1</v>
      </c>
      <c r="E386" s="252">
        <v>2.15</v>
      </c>
      <c r="F386" s="252">
        <v>0.9</v>
      </c>
      <c r="G386" s="254" t="str">
        <f t="shared" si="59"/>
        <v>-</v>
      </c>
      <c r="H386" s="254" t="str">
        <f t="shared" si="59"/>
        <v>-</v>
      </c>
      <c r="I386" s="254" t="str">
        <f t="shared" si="59"/>
        <v>-</v>
      </c>
      <c r="J386" s="254" t="str">
        <f t="shared" si="59"/>
        <v>-</v>
      </c>
      <c r="K386" s="254" t="str">
        <f t="shared" si="59"/>
        <v>-</v>
      </c>
      <c r="L386" s="254" t="str">
        <f t="shared" si="59"/>
        <v>-</v>
      </c>
      <c r="M386" s="254" t="str">
        <f t="shared" si="59"/>
        <v>-</v>
      </c>
      <c r="N386" s="255"/>
    </row>
    <row r="387" spans="1:14" s="256" customFormat="1" hidden="1" outlineLevel="2">
      <c r="A387" s="178"/>
      <c r="B387" s="257" t="s">
        <v>203</v>
      </c>
      <c r="C387" s="253" t="s">
        <v>176</v>
      </c>
      <c r="D387" s="173">
        <v>-1</v>
      </c>
      <c r="E387" s="252">
        <v>1.65</v>
      </c>
      <c r="F387" s="252">
        <v>0.7</v>
      </c>
      <c r="G387" s="254" t="str">
        <f t="shared" si="59"/>
        <v>-</v>
      </c>
      <c r="H387" s="254" t="str">
        <f t="shared" si="59"/>
        <v>-</v>
      </c>
      <c r="I387" s="254" t="str">
        <f t="shared" si="59"/>
        <v>-</v>
      </c>
      <c r="J387" s="254" t="str">
        <f t="shared" si="59"/>
        <v>-</v>
      </c>
      <c r="K387" s="254" t="str">
        <f t="shared" si="59"/>
        <v>-</v>
      </c>
      <c r="L387" s="254" t="str">
        <f t="shared" si="59"/>
        <v>-</v>
      </c>
      <c r="M387" s="254" t="str">
        <f t="shared" si="59"/>
        <v>-</v>
      </c>
      <c r="N387" s="255"/>
    </row>
    <row r="388" spans="1:14" s="256" customFormat="1" hidden="1" outlineLevel="2">
      <c r="A388" s="178"/>
      <c r="B388" s="252" t="s">
        <v>204</v>
      </c>
      <c r="C388" s="253" t="s">
        <v>177</v>
      </c>
      <c r="D388" s="173">
        <v>1</v>
      </c>
      <c r="E388" s="252"/>
      <c r="F388" s="252"/>
      <c r="G388" s="254" t="str">
        <f t="shared" si="59"/>
        <v>-</v>
      </c>
      <c r="H388" s="254" t="str">
        <f t="shared" si="59"/>
        <v>-</v>
      </c>
      <c r="I388" s="254" t="str">
        <f t="shared" si="59"/>
        <v>-</v>
      </c>
      <c r="J388" s="254" t="str">
        <f t="shared" si="59"/>
        <v>-</v>
      </c>
      <c r="K388" s="254">
        <f t="shared" si="59"/>
        <v>1</v>
      </c>
      <c r="L388" s="254" t="str">
        <f t="shared" si="59"/>
        <v>-</v>
      </c>
      <c r="M388" s="254" t="str">
        <f t="shared" si="59"/>
        <v>-</v>
      </c>
      <c r="N388" s="255"/>
    </row>
    <row r="389" spans="1:14" s="256" customFormat="1" hidden="1" outlineLevel="2">
      <c r="A389" s="178"/>
      <c r="B389" s="252" t="s">
        <v>205</v>
      </c>
      <c r="C389" s="253" t="s">
        <v>178</v>
      </c>
      <c r="D389" s="173">
        <v>1</v>
      </c>
      <c r="E389" s="252"/>
      <c r="F389" s="252"/>
      <c r="G389" s="254" t="str">
        <f t="shared" si="59"/>
        <v>-</v>
      </c>
      <c r="H389" s="254" t="str">
        <f t="shared" si="59"/>
        <v>-</v>
      </c>
      <c r="I389" s="254" t="str">
        <f t="shared" si="59"/>
        <v>-</v>
      </c>
      <c r="J389" s="254" t="str">
        <f t="shared" si="59"/>
        <v>-</v>
      </c>
      <c r="K389" s="254" t="str">
        <f t="shared" si="59"/>
        <v>-</v>
      </c>
      <c r="L389" s="254">
        <f t="shared" si="59"/>
        <v>1</v>
      </c>
      <c r="M389" s="254" t="str">
        <f t="shared" si="59"/>
        <v>-</v>
      </c>
      <c r="N389" s="255"/>
    </row>
    <row r="390" spans="1:14" s="256" customFormat="1" hidden="1" outlineLevel="2">
      <c r="A390" s="259"/>
      <c r="B390" s="252"/>
      <c r="C390" s="253"/>
      <c r="D390" s="173"/>
      <c r="E390" s="252"/>
      <c r="F390" s="252"/>
      <c r="G390" s="254" t="str">
        <f t="shared" si="59"/>
        <v>-</v>
      </c>
      <c r="H390" s="254" t="str">
        <f t="shared" si="59"/>
        <v>-</v>
      </c>
      <c r="I390" s="254" t="str">
        <f t="shared" si="59"/>
        <v>-</v>
      </c>
      <c r="J390" s="254" t="str">
        <f t="shared" si="59"/>
        <v>-</v>
      </c>
      <c r="K390" s="254" t="str">
        <f t="shared" si="59"/>
        <v>-</v>
      </c>
      <c r="L390" s="254" t="str">
        <f t="shared" si="59"/>
        <v>-</v>
      </c>
      <c r="M390" s="254" t="str">
        <f t="shared" si="59"/>
        <v>-</v>
      </c>
      <c r="N390" s="255"/>
    </row>
    <row r="391" spans="1:14" s="251" customFormat="1" ht="15" hidden="1" outlineLevel="1" collapsed="1">
      <c r="A391" s="245"/>
      <c r="B391" s="246" t="s">
        <v>220</v>
      </c>
      <c r="C391" s="245"/>
      <c r="D391" s="247">
        <v>1</v>
      </c>
      <c r="E391" s="248"/>
      <c r="F391" s="248"/>
      <c r="G391" s="249">
        <f>SUBTOTAL(9,G392:G412)</f>
        <v>22.7</v>
      </c>
      <c r="H391" s="249">
        <f t="shared" ref="H391:M391" si="60">SUBTOTAL(9,H392:H412)</f>
        <v>30.2</v>
      </c>
      <c r="I391" s="249">
        <f t="shared" si="60"/>
        <v>13.14</v>
      </c>
      <c r="J391" s="249">
        <f t="shared" si="60"/>
        <v>0.36</v>
      </c>
      <c r="K391" s="249">
        <f t="shared" si="60"/>
        <v>1</v>
      </c>
      <c r="L391" s="249">
        <f t="shared" si="60"/>
        <v>3</v>
      </c>
      <c r="M391" s="249">
        <f t="shared" si="60"/>
        <v>1</v>
      </c>
      <c r="N391" s="250"/>
    </row>
    <row r="392" spans="1:14" s="256" customFormat="1" hidden="1" outlineLevel="2">
      <c r="A392" s="178"/>
      <c r="B392" s="252" t="s">
        <v>189</v>
      </c>
      <c r="C392" s="253" t="s">
        <v>169</v>
      </c>
      <c r="D392" s="173">
        <v>1</v>
      </c>
      <c r="E392" s="252">
        <v>22.7</v>
      </c>
      <c r="F392" s="252"/>
      <c r="G392" s="254">
        <f t="shared" si="59"/>
        <v>22.7</v>
      </c>
      <c r="H392" s="254" t="str">
        <f t="shared" si="59"/>
        <v>-</v>
      </c>
      <c r="I392" s="254" t="str">
        <f t="shared" si="59"/>
        <v>-</v>
      </c>
      <c r="J392" s="254" t="str">
        <f t="shared" si="59"/>
        <v>-</v>
      </c>
      <c r="K392" s="254" t="str">
        <f t="shared" si="59"/>
        <v>-</v>
      </c>
      <c r="L392" s="254" t="str">
        <f t="shared" si="59"/>
        <v>-</v>
      </c>
      <c r="M392" s="254" t="str">
        <f t="shared" si="59"/>
        <v>-</v>
      </c>
      <c r="N392" s="255"/>
    </row>
    <row r="393" spans="1:14" s="256" customFormat="1" hidden="1" outlineLevel="2">
      <c r="A393" s="178"/>
      <c r="B393" s="252" t="s">
        <v>190</v>
      </c>
      <c r="C393" s="253" t="s">
        <v>170</v>
      </c>
      <c r="D393" s="173">
        <v>1</v>
      </c>
      <c r="E393" s="252">
        <v>20.5</v>
      </c>
      <c r="F393" s="252"/>
      <c r="G393" s="254" t="str">
        <f t="shared" si="59"/>
        <v>-</v>
      </c>
      <c r="H393" s="254" t="str">
        <f t="shared" si="59"/>
        <v>-</v>
      </c>
      <c r="I393" s="254" t="str">
        <f t="shared" si="59"/>
        <v>-</v>
      </c>
      <c r="J393" s="254" t="str">
        <f t="shared" si="59"/>
        <v>-</v>
      </c>
      <c r="K393" s="254" t="str">
        <f t="shared" si="59"/>
        <v>-</v>
      </c>
      <c r="L393" s="254" t="str">
        <f t="shared" si="59"/>
        <v>-</v>
      </c>
      <c r="M393" s="254" t="str">
        <f t="shared" si="59"/>
        <v>-</v>
      </c>
      <c r="N393" s="255"/>
    </row>
    <row r="394" spans="1:14" s="256" customFormat="1" hidden="1" outlineLevel="2">
      <c r="A394" s="178"/>
      <c r="B394" s="257" t="s">
        <v>191</v>
      </c>
      <c r="C394" s="253" t="s">
        <v>170</v>
      </c>
      <c r="D394" s="173">
        <v>-3</v>
      </c>
      <c r="E394" s="252">
        <v>0.8</v>
      </c>
      <c r="F394" s="252"/>
      <c r="G394" s="254" t="str">
        <f t="shared" si="59"/>
        <v>-</v>
      </c>
      <c r="H394" s="254" t="str">
        <f t="shared" si="59"/>
        <v>-</v>
      </c>
      <c r="I394" s="254" t="str">
        <f t="shared" si="59"/>
        <v>-</v>
      </c>
      <c r="J394" s="254" t="str">
        <f t="shared" si="59"/>
        <v>-</v>
      </c>
      <c r="K394" s="254" t="str">
        <f t="shared" si="59"/>
        <v>-</v>
      </c>
      <c r="L394" s="254" t="str">
        <f t="shared" si="59"/>
        <v>-</v>
      </c>
      <c r="M394" s="254" t="str">
        <f t="shared" si="59"/>
        <v>-</v>
      </c>
      <c r="N394" s="255"/>
    </row>
    <row r="395" spans="1:14" s="256" customFormat="1" hidden="1" outlineLevel="2">
      <c r="A395" s="178"/>
      <c r="B395" s="257" t="s">
        <v>195</v>
      </c>
      <c r="C395" s="253" t="s">
        <v>170</v>
      </c>
      <c r="D395" s="173">
        <v>-1</v>
      </c>
      <c r="E395" s="252">
        <v>0.7</v>
      </c>
      <c r="F395" s="252"/>
      <c r="G395" s="254" t="str">
        <f t="shared" si="59"/>
        <v>-</v>
      </c>
      <c r="H395" s="254" t="str">
        <f t="shared" ref="G395:M410" si="61">IF($C395=H$5,PRODUCT($D395:$F395),"-")</f>
        <v>-</v>
      </c>
      <c r="I395" s="254" t="str">
        <f t="shared" si="61"/>
        <v>-</v>
      </c>
      <c r="J395" s="254" t="str">
        <f t="shared" si="61"/>
        <v>-</v>
      </c>
      <c r="K395" s="254" t="str">
        <f t="shared" si="61"/>
        <v>-</v>
      </c>
      <c r="L395" s="254" t="str">
        <f t="shared" si="61"/>
        <v>-</v>
      </c>
      <c r="M395" s="254" t="str">
        <f t="shared" si="61"/>
        <v>-</v>
      </c>
      <c r="N395" s="255"/>
    </row>
    <row r="396" spans="1:14" s="256" customFormat="1" hidden="1" outlineLevel="2">
      <c r="A396" s="178"/>
      <c r="B396" s="257" t="s">
        <v>192</v>
      </c>
      <c r="C396" s="253" t="s">
        <v>170</v>
      </c>
      <c r="D396" s="173">
        <v>-1</v>
      </c>
      <c r="E396" s="252">
        <v>2.8</v>
      </c>
      <c r="F396" s="252"/>
      <c r="G396" s="254" t="str">
        <f t="shared" si="61"/>
        <v>-</v>
      </c>
      <c r="H396" s="254" t="str">
        <f t="shared" si="61"/>
        <v>-</v>
      </c>
      <c r="I396" s="254" t="str">
        <f t="shared" si="61"/>
        <v>-</v>
      </c>
      <c r="J396" s="254" t="str">
        <f t="shared" si="61"/>
        <v>-</v>
      </c>
      <c r="K396" s="254" t="str">
        <f t="shared" si="61"/>
        <v>-</v>
      </c>
      <c r="L396" s="254" t="str">
        <f t="shared" si="61"/>
        <v>-</v>
      </c>
      <c r="M396" s="254" t="str">
        <f t="shared" si="61"/>
        <v>-</v>
      </c>
      <c r="N396" s="255"/>
    </row>
    <row r="397" spans="1:14" s="256" customFormat="1" hidden="1" outlineLevel="2">
      <c r="A397" s="178"/>
      <c r="B397" s="252" t="s">
        <v>193</v>
      </c>
      <c r="C397" s="253" t="s">
        <v>171</v>
      </c>
      <c r="D397" s="173">
        <v>1</v>
      </c>
      <c r="E397" s="252">
        <v>30.2</v>
      </c>
      <c r="F397" s="252"/>
      <c r="G397" s="254" t="str">
        <f t="shared" si="61"/>
        <v>-</v>
      </c>
      <c r="H397" s="254">
        <f t="shared" si="61"/>
        <v>30.2</v>
      </c>
      <c r="I397" s="254" t="str">
        <f t="shared" si="61"/>
        <v>-</v>
      </c>
      <c r="J397" s="254" t="str">
        <f t="shared" si="61"/>
        <v>-</v>
      </c>
      <c r="K397" s="254" t="str">
        <f t="shared" si="61"/>
        <v>-</v>
      </c>
      <c r="L397" s="254" t="str">
        <f t="shared" si="61"/>
        <v>-</v>
      </c>
      <c r="M397" s="254" t="str">
        <f t="shared" si="61"/>
        <v>-</v>
      </c>
      <c r="N397" s="255"/>
    </row>
    <row r="398" spans="1:14" s="256" customFormat="1" hidden="1" outlineLevel="2">
      <c r="A398" s="178"/>
      <c r="B398" s="252" t="s">
        <v>194</v>
      </c>
      <c r="C398" s="253" t="s">
        <v>172</v>
      </c>
      <c r="D398" s="173">
        <v>1</v>
      </c>
      <c r="E398" s="252">
        <f>31.4</f>
        <v>31.4</v>
      </c>
      <c r="F398" s="252"/>
      <c r="G398" s="254" t="str">
        <f t="shared" si="61"/>
        <v>-</v>
      </c>
      <c r="H398" s="254" t="str">
        <f t="shared" si="61"/>
        <v>-</v>
      </c>
      <c r="I398" s="254" t="str">
        <f t="shared" si="61"/>
        <v>-</v>
      </c>
      <c r="J398" s="254" t="str">
        <f t="shared" si="61"/>
        <v>-</v>
      </c>
      <c r="K398" s="254" t="str">
        <f t="shared" si="61"/>
        <v>-</v>
      </c>
      <c r="L398" s="254" t="str">
        <f t="shared" si="61"/>
        <v>-</v>
      </c>
      <c r="M398" s="254" t="str">
        <f t="shared" si="61"/>
        <v>-</v>
      </c>
      <c r="N398" s="255"/>
    </row>
    <row r="399" spans="1:14" s="256" customFormat="1" hidden="1" outlineLevel="2">
      <c r="A399" s="178"/>
      <c r="B399" s="257" t="s">
        <v>191</v>
      </c>
      <c r="C399" s="253" t="s">
        <v>172</v>
      </c>
      <c r="D399" s="173">
        <v>-2</v>
      </c>
      <c r="E399" s="252">
        <v>0.8</v>
      </c>
      <c r="F399" s="252"/>
      <c r="G399" s="254" t="str">
        <f t="shared" si="61"/>
        <v>-</v>
      </c>
      <c r="H399" s="254" t="str">
        <f t="shared" si="61"/>
        <v>-</v>
      </c>
      <c r="I399" s="254" t="str">
        <f t="shared" si="61"/>
        <v>-</v>
      </c>
      <c r="J399" s="254" t="str">
        <f t="shared" si="61"/>
        <v>-</v>
      </c>
      <c r="K399" s="254" t="str">
        <f t="shared" si="61"/>
        <v>-</v>
      </c>
      <c r="L399" s="254" t="str">
        <f t="shared" si="61"/>
        <v>-</v>
      </c>
      <c r="M399" s="254" t="str">
        <f t="shared" si="61"/>
        <v>-</v>
      </c>
      <c r="N399" s="255"/>
    </row>
    <row r="400" spans="1:14" s="256" customFormat="1" hidden="1" outlineLevel="2">
      <c r="A400" s="178"/>
      <c r="B400" s="257" t="s">
        <v>191</v>
      </c>
      <c r="C400" s="253" t="s">
        <v>172</v>
      </c>
      <c r="D400" s="173">
        <v>-1</v>
      </c>
      <c r="E400" s="252">
        <v>1.25</v>
      </c>
      <c r="F400" s="252"/>
      <c r="G400" s="254" t="str">
        <f t="shared" si="61"/>
        <v>-</v>
      </c>
      <c r="H400" s="254" t="str">
        <f t="shared" si="61"/>
        <v>-</v>
      </c>
      <c r="I400" s="254" t="str">
        <f t="shared" si="61"/>
        <v>-</v>
      </c>
      <c r="J400" s="254" t="str">
        <f t="shared" si="61"/>
        <v>-</v>
      </c>
      <c r="K400" s="254" t="str">
        <f t="shared" si="61"/>
        <v>-</v>
      </c>
      <c r="L400" s="254" t="str">
        <f t="shared" si="61"/>
        <v>-</v>
      </c>
      <c r="M400" s="254" t="str">
        <f t="shared" si="61"/>
        <v>-</v>
      </c>
      <c r="N400" s="255"/>
    </row>
    <row r="401" spans="1:14" s="256" customFormat="1" hidden="1" outlineLevel="2">
      <c r="A401" s="178"/>
      <c r="B401" s="252" t="s">
        <v>196</v>
      </c>
      <c r="C401" s="253" t="s">
        <v>173</v>
      </c>
      <c r="D401" s="173">
        <v>1</v>
      </c>
      <c r="E401" s="252">
        <f>9.2-0.36+4.3</f>
        <v>13.14</v>
      </c>
      <c r="F401" s="252"/>
      <c r="G401" s="254" t="str">
        <f t="shared" si="61"/>
        <v>-</v>
      </c>
      <c r="H401" s="254" t="str">
        <f t="shared" si="61"/>
        <v>-</v>
      </c>
      <c r="I401" s="254">
        <f t="shared" si="61"/>
        <v>13.14</v>
      </c>
      <c r="J401" s="254" t="str">
        <f t="shared" si="61"/>
        <v>-</v>
      </c>
      <c r="K401" s="254" t="str">
        <f t="shared" si="61"/>
        <v>-</v>
      </c>
      <c r="L401" s="254" t="str">
        <f t="shared" si="61"/>
        <v>-</v>
      </c>
      <c r="M401" s="254" t="str">
        <f t="shared" si="61"/>
        <v>-</v>
      </c>
      <c r="N401" s="255"/>
    </row>
    <row r="402" spans="1:14" s="256" customFormat="1" hidden="1" outlineLevel="2">
      <c r="A402" s="178"/>
      <c r="B402" s="252" t="s">
        <v>197</v>
      </c>
      <c r="C402" s="253" t="s">
        <v>175</v>
      </c>
      <c r="D402" s="173">
        <v>1</v>
      </c>
      <c r="E402" s="252">
        <f>0.3*0.6*2</f>
        <v>0.36</v>
      </c>
      <c r="F402" s="252"/>
      <c r="G402" s="254" t="str">
        <f t="shared" si="61"/>
        <v>-</v>
      </c>
      <c r="H402" s="254" t="str">
        <f t="shared" si="61"/>
        <v>-</v>
      </c>
      <c r="I402" s="254" t="str">
        <f t="shared" si="61"/>
        <v>-</v>
      </c>
      <c r="J402" s="254">
        <f t="shared" si="61"/>
        <v>0.36</v>
      </c>
      <c r="K402" s="254" t="str">
        <f t="shared" si="61"/>
        <v>-</v>
      </c>
      <c r="L402" s="254" t="str">
        <f t="shared" si="61"/>
        <v>-</v>
      </c>
      <c r="M402" s="254" t="str">
        <f t="shared" si="61"/>
        <v>-</v>
      </c>
      <c r="N402" s="255"/>
    </row>
    <row r="403" spans="1:14" s="256" customFormat="1" hidden="1" outlineLevel="2">
      <c r="A403" s="178"/>
      <c r="B403" s="252" t="s">
        <v>198</v>
      </c>
      <c r="C403" s="253" t="s">
        <v>174</v>
      </c>
      <c r="D403" s="173">
        <v>1</v>
      </c>
      <c r="E403" s="252">
        <f>13.3+5.3</f>
        <v>18.600000000000001</v>
      </c>
      <c r="F403" s="252">
        <v>2.2999999999999998</v>
      </c>
      <c r="G403" s="254" t="str">
        <f t="shared" si="61"/>
        <v>-</v>
      </c>
      <c r="H403" s="254" t="str">
        <f t="shared" si="61"/>
        <v>-</v>
      </c>
      <c r="I403" s="254" t="str">
        <f t="shared" si="61"/>
        <v>-</v>
      </c>
      <c r="J403" s="254" t="str">
        <f t="shared" si="61"/>
        <v>-</v>
      </c>
      <c r="K403" s="254" t="str">
        <f t="shared" si="61"/>
        <v>-</v>
      </c>
      <c r="L403" s="254" t="str">
        <f t="shared" si="61"/>
        <v>-</v>
      </c>
      <c r="M403" s="254" t="str">
        <f t="shared" si="61"/>
        <v>-</v>
      </c>
      <c r="N403" s="255"/>
    </row>
    <row r="404" spans="1:14" s="256" customFormat="1" hidden="1" outlineLevel="2">
      <c r="A404" s="178"/>
      <c r="B404" s="257" t="s">
        <v>212</v>
      </c>
      <c r="C404" s="253" t="s">
        <v>174</v>
      </c>
      <c r="D404" s="173">
        <v>-2</v>
      </c>
      <c r="E404" s="252">
        <v>0.8</v>
      </c>
      <c r="F404" s="252">
        <v>2.2000000000000002</v>
      </c>
      <c r="G404" s="254" t="str">
        <f t="shared" si="61"/>
        <v>-</v>
      </c>
      <c r="H404" s="254" t="str">
        <f t="shared" si="61"/>
        <v>-</v>
      </c>
      <c r="I404" s="254" t="str">
        <f t="shared" si="61"/>
        <v>-</v>
      </c>
      <c r="J404" s="254" t="str">
        <f t="shared" si="61"/>
        <v>-</v>
      </c>
      <c r="K404" s="254" t="str">
        <f t="shared" si="61"/>
        <v>-</v>
      </c>
      <c r="L404" s="254" t="str">
        <f t="shared" si="61"/>
        <v>-</v>
      </c>
      <c r="M404" s="254" t="str">
        <f t="shared" si="61"/>
        <v>-</v>
      </c>
      <c r="N404" s="255"/>
    </row>
    <row r="405" spans="1:14" s="256" customFormat="1" hidden="1" outlineLevel="2">
      <c r="A405" s="178"/>
      <c r="B405" s="257" t="s">
        <v>199</v>
      </c>
      <c r="C405" s="253" t="s">
        <v>174</v>
      </c>
      <c r="D405" s="173">
        <v>-1</v>
      </c>
      <c r="E405" s="252">
        <f>1.4+0.95</f>
        <v>2.3499999999999996</v>
      </c>
      <c r="F405" s="252">
        <v>1.45</v>
      </c>
      <c r="G405" s="254" t="str">
        <f t="shared" si="61"/>
        <v>-</v>
      </c>
      <c r="H405" s="254" t="str">
        <f t="shared" si="61"/>
        <v>-</v>
      </c>
      <c r="I405" s="254" t="str">
        <f t="shared" si="61"/>
        <v>-</v>
      </c>
      <c r="J405" s="254" t="str">
        <f t="shared" si="61"/>
        <v>-</v>
      </c>
      <c r="K405" s="254" t="str">
        <f t="shared" si="61"/>
        <v>-</v>
      </c>
      <c r="L405" s="254" t="str">
        <f t="shared" si="61"/>
        <v>-</v>
      </c>
      <c r="M405" s="254" t="str">
        <f t="shared" si="61"/>
        <v>-</v>
      </c>
      <c r="N405" s="255"/>
    </row>
    <row r="406" spans="1:14" s="256" customFormat="1" hidden="1" outlineLevel="2">
      <c r="A406" s="178"/>
      <c r="B406" s="258" t="s">
        <v>201</v>
      </c>
      <c r="C406" s="253" t="s">
        <v>174</v>
      </c>
      <c r="D406" s="173">
        <v>1</v>
      </c>
      <c r="E406" s="252">
        <f>E405+0.4</f>
        <v>2.7499999999999996</v>
      </c>
      <c r="F406" s="252">
        <v>0.25</v>
      </c>
      <c r="G406" s="254" t="str">
        <f t="shared" si="61"/>
        <v>-</v>
      </c>
      <c r="H406" s="254" t="str">
        <f t="shared" si="61"/>
        <v>-</v>
      </c>
      <c r="I406" s="254" t="str">
        <f t="shared" si="61"/>
        <v>-</v>
      </c>
      <c r="J406" s="254" t="str">
        <f t="shared" si="61"/>
        <v>-</v>
      </c>
      <c r="K406" s="254" t="str">
        <f t="shared" si="61"/>
        <v>-</v>
      </c>
      <c r="L406" s="254" t="str">
        <f t="shared" si="61"/>
        <v>-</v>
      </c>
      <c r="M406" s="254" t="str">
        <f t="shared" si="61"/>
        <v>-</v>
      </c>
      <c r="N406" s="255"/>
    </row>
    <row r="407" spans="1:14" s="256" customFormat="1" hidden="1" outlineLevel="2">
      <c r="A407" s="178"/>
      <c r="B407" s="252" t="s">
        <v>202</v>
      </c>
      <c r="C407" s="253" t="s">
        <v>176</v>
      </c>
      <c r="D407" s="173">
        <v>1</v>
      </c>
      <c r="E407" s="252">
        <v>2.25</v>
      </c>
      <c r="F407" s="252">
        <v>1.5</v>
      </c>
      <c r="G407" s="254" t="str">
        <f t="shared" si="61"/>
        <v>-</v>
      </c>
      <c r="H407" s="254" t="str">
        <f t="shared" si="61"/>
        <v>-</v>
      </c>
      <c r="I407" s="254" t="str">
        <f t="shared" si="61"/>
        <v>-</v>
      </c>
      <c r="J407" s="254" t="str">
        <f t="shared" si="61"/>
        <v>-</v>
      </c>
      <c r="K407" s="254" t="str">
        <f t="shared" si="61"/>
        <v>-</v>
      </c>
      <c r="L407" s="254" t="str">
        <f t="shared" si="61"/>
        <v>-</v>
      </c>
      <c r="M407" s="254" t="str">
        <f t="shared" si="61"/>
        <v>-</v>
      </c>
      <c r="N407" s="255"/>
    </row>
    <row r="408" spans="1:14" s="256" customFormat="1" hidden="1" outlineLevel="2">
      <c r="A408" s="178"/>
      <c r="B408" s="257" t="s">
        <v>203</v>
      </c>
      <c r="C408" s="253" t="s">
        <v>176</v>
      </c>
      <c r="D408" s="173">
        <v>-1</v>
      </c>
      <c r="E408" s="252">
        <v>1.9</v>
      </c>
      <c r="F408" s="252">
        <v>1.1000000000000001</v>
      </c>
      <c r="G408" s="254" t="str">
        <f t="shared" si="61"/>
        <v>-</v>
      </c>
      <c r="H408" s="254" t="str">
        <f t="shared" si="61"/>
        <v>-</v>
      </c>
      <c r="I408" s="254" t="str">
        <f t="shared" si="61"/>
        <v>-</v>
      </c>
      <c r="J408" s="254" t="str">
        <f t="shared" si="61"/>
        <v>-</v>
      </c>
      <c r="K408" s="254" t="str">
        <f t="shared" si="61"/>
        <v>-</v>
      </c>
      <c r="L408" s="254" t="str">
        <f t="shared" si="61"/>
        <v>-</v>
      </c>
      <c r="M408" s="254" t="str">
        <f t="shared" si="61"/>
        <v>-</v>
      </c>
      <c r="N408" s="255"/>
    </row>
    <row r="409" spans="1:14" s="256" customFormat="1" hidden="1" outlineLevel="2">
      <c r="A409" s="178"/>
      <c r="B409" s="252" t="s">
        <v>204</v>
      </c>
      <c r="C409" s="253" t="s">
        <v>177</v>
      </c>
      <c r="D409" s="173">
        <v>1</v>
      </c>
      <c r="E409" s="252"/>
      <c r="F409" s="252"/>
      <c r="G409" s="254" t="str">
        <f t="shared" si="61"/>
        <v>-</v>
      </c>
      <c r="H409" s="254" t="str">
        <f t="shared" si="61"/>
        <v>-</v>
      </c>
      <c r="I409" s="254" t="str">
        <f t="shared" si="61"/>
        <v>-</v>
      </c>
      <c r="J409" s="254" t="str">
        <f t="shared" si="61"/>
        <v>-</v>
      </c>
      <c r="K409" s="254">
        <f t="shared" si="61"/>
        <v>1</v>
      </c>
      <c r="L409" s="254" t="str">
        <f t="shared" si="61"/>
        <v>-</v>
      </c>
      <c r="M409" s="254" t="str">
        <f t="shared" si="61"/>
        <v>-</v>
      </c>
      <c r="N409" s="255"/>
    </row>
    <row r="410" spans="1:14" s="256" customFormat="1" hidden="1" outlineLevel="2">
      <c r="A410" s="178"/>
      <c r="B410" s="252" t="s">
        <v>208</v>
      </c>
      <c r="C410" s="253" t="s">
        <v>179</v>
      </c>
      <c r="D410" s="173">
        <v>1</v>
      </c>
      <c r="E410" s="252"/>
      <c r="F410" s="252"/>
      <c r="G410" s="254" t="str">
        <f t="shared" si="61"/>
        <v>-</v>
      </c>
      <c r="H410" s="254" t="str">
        <f t="shared" si="61"/>
        <v>-</v>
      </c>
      <c r="I410" s="254" t="str">
        <f t="shared" si="61"/>
        <v>-</v>
      </c>
      <c r="J410" s="254" t="str">
        <f t="shared" si="61"/>
        <v>-</v>
      </c>
      <c r="K410" s="254" t="str">
        <f t="shared" si="61"/>
        <v>-</v>
      </c>
      <c r="L410" s="254" t="str">
        <f t="shared" si="61"/>
        <v>-</v>
      </c>
      <c r="M410" s="254">
        <f t="shared" si="61"/>
        <v>1</v>
      </c>
      <c r="N410" s="255"/>
    </row>
    <row r="411" spans="1:14" s="256" customFormat="1" hidden="1" outlineLevel="2">
      <c r="A411" s="178"/>
      <c r="B411" s="252" t="s">
        <v>205</v>
      </c>
      <c r="C411" s="253" t="s">
        <v>178</v>
      </c>
      <c r="D411" s="173">
        <v>3</v>
      </c>
      <c r="E411" s="252"/>
      <c r="F411" s="252"/>
      <c r="G411" s="254" t="str">
        <f t="shared" ref="G411:M412" si="62">IF($C411=G$5,PRODUCT($D411:$F411),"-")</f>
        <v>-</v>
      </c>
      <c r="H411" s="254" t="str">
        <f t="shared" si="62"/>
        <v>-</v>
      </c>
      <c r="I411" s="254" t="str">
        <f t="shared" si="62"/>
        <v>-</v>
      </c>
      <c r="J411" s="254" t="str">
        <f t="shared" si="62"/>
        <v>-</v>
      </c>
      <c r="K411" s="254" t="str">
        <f t="shared" si="62"/>
        <v>-</v>
      </c>
      <c r="L411" s="254">
        <f t="shared" si="62"/>
        <v>3</v>
      </c>
      <c r="M411" s="254" t="str">
        <f t="shared" si="62"/>
        <v>-</v>
      </c>
      <c r="N411" s="255"/>
    </row>
    <row r="412" spans="1:14" s="256" customFormat="1" hidden="1" outlineLevel="2">
      <c r="A412" s="259"/>
      <c r="B412" s="252"/>
      <c r="C412" s="253"/>
      <c r="D412" s="173"/>
      <c r="E412" s="252"/>
      <c r="F412" s="252"/>
      <c r="G412" s="254" t="str">
        <f t="shared" si="62"/>
        <v>-</v>
      </c>
      <c r="H412" s="254" t="str">
        <f t="shared" si="62"/>
        <v>-</v>
      </c>
      <c r="I412" s="254" t="str">
        <f t="shared" si="62"/>
        <v>-</v>
      </c>
      <c r="J412" s="254" t="str">
        <f t="shared" si="62"/>
        <v>-</v>
      </c>
      <c r="K412" s="254" t="str">
        <f t="shared" si="62"/>
        <v>-</v>
      </c>
      <c r="L412" s="254" t="str">
        <f t="shared" si="62"/>
        <v>-</v>
      </c>
      <c r="M412" s="254" t="str">
        <f t="shared" si="62"/>
        <v>-</v>
      </c>
      <c r="N412" s="255"/>
    </row>
    <row r="413" spans="1:14" s="251" customFormat="1" ht="15" hidden="1" outlineLevel="1" collapsed="1">
      <c r="A413" s="245"/>
      <c r="B413" s="246" t="s">
        <v>259</v>
      </c>
      <c r="C413" s="245"/>
      <c r="D413" s="247">
        <v>1</v>
      </c>
      <c r="E413" s="248"/>
      <c r="F413" s="248"/>
      <c r="G413" s="249">
        <f>SUBTOTAL(9,G414:G435)</f>
        <v>17</v>
      </c>
      <c r="H413" s="249">
        <f t="shared" ref="H413:M413" si="63">SUBTOTAL(9,H414:H435)</f>
        <v>92.300000000000011</v>
      </c>
      <c r="I413" s="249">
        <f t="shared" si="63"/>
        <v>3.3</v>
      </c>
      <c r="J413" s="249">
        <f t="shared" si="63"/>
        <v>0</v>
      </c>
      <c r="K413" s="249">
        <f t="shared" si="63"/>
        <v>2</v>
      </c>
      <c r="L413" s="249">
        <f t="shared" si="63"/>
        <v>1</v>
      </c>
      <c r="M413" s="249">
        <f t="shared" si="63"/>
        <v>1</v>
      </c>
      <c r="N413" s="250"/>
    </row>
    <row r="414" spans="1:14" s="256" customFormat="1" hidden="1" outlineLevel="2">
      <c r="A414" s="178"/>
      <c r="B414" s="252" t="s">
        <v>189</v>
      </c>
      <c r="C414" s="253" t="s">
        <v>169</v>
      </c>
      <c r="D414" s="173">
        <v>1</v>
      </c>
      <c r="E414" s="252">
        <v>17</v>
      </c>
      <c r="F414" s="252"/>
      <c r="G414" s="254">
        <f t="shared" ref="G414:M439" si="64">IF($C414=G$5,PRODUCT($D414:$F414),"-")</f>
        <v>17</v>
      </c>
      <c r="H414" s="254" t="str">
        <f t="shared" si="64"/>
        <v>-</v>
      </c>
      <c r="I414" s="254" t="str">
        <f t="shared" si="64"/>
        <v>-</v>
      </c>
      <c r="J414" s="254" t="str">
        <f t="shared" si="64"/>
        <v>-</v>
      </c>
      <c r="K414" s="254" t="str">
        <f t="shared" si="64"/>
        <v>-</v>
      </c>
      <c r="L414" s="254" t="str">
        <f t="shared" si="64"/>
        <v>-</v>
      </c>
      <c r="M414" s="254" t="str">
        <f t="shared" si="64"/>
        <v>-</v>
      </c>
      <c r="N414" s="255"/>
    </row>
    <row r="415" spans="1:14" s="256" customFormat="1" hidden="1" outlineLevel="2">
      <c r="A415" s="178"/>
      <c r="B415" s="252" t="s">
        <v>190</v>
      </c>
      <c r="C415" s="253" t="s">
        <v>170</v>
      </c>
      <c r="D415" s="173">
        <v>1</v>
      </c>
      <c r="E415" s="252">
        <v>16.600000000000001</v>
      </c>
      <c r="F415" s="252"/>
      <c r="G415" s="254" t="str">
        <f t="shared" si="64"/>
        <v>-</v>
      </c>
      <c r="H415" s="254" t="str">
        <f t="shared" si="64"/>
        <v>-</v>
      </c>
      <c r="I415" s="254" t="str">
        <f t="shared" si="64"/>
        <v>-</v>
      </c>
      <c r="J415" s="254" t="str">
        <f t="shared" si="64"/>
        <v>-</v>
      </c>
      <c r="K415" s="254" t="str">
        <f t="shared" si="64"/>
        <v>-</v>
      </c>
      <c r="L415" s="254" t="str">
        <f t="shared" si="64"/>
        <v>-</v>
      </c>
      <c r="M415" s="254" t="str">
        <f t="shared" si="64"/>
        <v>-</v>
      </c>
      <c r="N415" s="255"/>
    </row>
    <row r="416" spans="1:14" s="256" customFormat="1" hidden="1" outlineLevel="2">
      <c r="A416" s="178"/>
      <c r="B416" s="257" t="s">
        <v>191</v>
      </c>
      <c r="C416" s="253" t="s">
        <v>170</v>
      </c>
      <c r="D416" s="173">
        <v>-1</v>
      </c>
      <c r="E416" s="252">
        <v>1.7</v>
      </c>
      <c r="F416" s="252"/>
      <c r="G416" s="254" t="str">
        <f t="shared" si="64"/>
        <v>-</v>
      </c>
      <c r="H416" s="254" t="str">
        <f t="shared" si="64"/>
        <v>-</v>
      </c>
      <c r="I416" s="254" t="str">
        <f t="shared" si="64"/>
        <v>-</v>
      </c>
      <c r="J416" s="254" t="str">
        <f t="shared" si="64"/>
        <v>-</v>
      </c>
      <c r="K416" s="254" t="str">
        <f t="shared" si="64"/>
        <v>-</v>
      </c>
      <c r="L416" s="254" t="str">
        <f t="shared" si="64"/>
        <v>-</v>
      </c>
      <c r="M416" s="254" t="str">
        <f t="shared" si="64"/>
        <v>-</v>
      </c>
      <c r="N416" s="255"/>
    </row>
    <row r="417" spans="1:14" s="256" customFormat="1" hidden="1" outlineLevel="2">
      <c r="A417" s="178"/>
      <c r="B417" s="257" t="s">
        <v>192</v>
      </c>
      <c r="C417" s="253" t="s">
        <v>170</v>
      </c>
      <c r="D417" s="173">
        <v>-1</v>
      </c>
      <c r="E417" s="252">
        <v>2.8</v>
      </c>
      <c r="F417" s="252"/>
      <c r="G417" s="254" t="str">
        <f t="shared" si="64"/>
        <v>-</v>
      </c>
      <c r="H417" s="254" t="str">
        <f t="shared" si="64"/>
        <v>-</v>
      </c>
      <c r="I417" s="254" t="str">
        <f t="shared" si="64"/>
        <v>-</v>
      </c>
      <c r="J417" s="254" t="str">
        <f t="shared" si="64"/>
        <v>-</v>
      </c>
      <c r="K417" s="254" t="str">
        <f t="shared" si="64"/>
        <v>-</v>
      </c>
      <c r="L417" s="254" t="str">
        <f t="shared" si="64"/>
        <v>-</v>
      </c>
      <c r="M417" s="254" t="str">
        <f t="shared" si="64"/>
        <v>-</v>
      </c>
      <c r="N417" s="255"/>
    </row>
    <row r="418" spans="1:14" s="256" customFormat="1" hidden="1" outlineLevel="2">
      <c r="A418" s="178"/>
      <c r="B418" s="252" t="s">
        <v>193</v>
      </c>
      <c r="C418" s="253" t="s">
        <v>171</v>
      </c>
      <c r="D418" s="173">
        <v>1</v>
      </c>
      <c r="E418" s="252">
        <f>3.5+85.4+3.4</f>
        <v>92.300000000000011</v>
      </c>
      <c r="F418" s="252"/>
      <c r="G418" s="254" t="str">
        <f t="shared" si="64"/>
        <v>-</v>
      </c>
      <c r="H418" s="254">
        <f t="shared" si="64"/>
        <v>92.300000000000011</v>
      </c>
      <c r="I418" s="254" t="str">
        <f t="shared" si="64"/>
        <v>-</v>
      </c>
      <c r="J418" s="254" t="str">
        <f t="shared" si="64"/>
        <v>-</v>
      </c>
      <c r="K418" s="254" t="str">
        <f t="shared" si="64"/>
        <v>-</v>
      </c>
      <c r="L418" s="254" t="str">
        <f t="shared" si="64"/>
        <v>-</v>
      </c>
      <c r="M418" s="254" t="str">
        <f t="shared" si="64"/>
        <v>-</v>
      </c>
      <c r="N418" s="255"/>
    </row>
    <row r="419" spans="1:14" s="256" customFormat="1" hidden="1" outlineLevel="2">
      <c r="A419" s="178"/>
      <c r="B419" s="252" t="s">
        <v>194</v>
      </c>
      <c r="C419" s="253" t="s">
        <v>172</v>
      </c>
      <c r="D419" s="173">
        <v>1</v>
      </c>
      <c r="E419" s="252">
        <f>7.5+49.8+7</f>
        <v>64.3</v>
      </c>
      <c r="F419" s="252"/>
      <c r="G419" s="254" t="str">
        <f t="shared" si="64"/>
        <v>-</v>
      </c>
      <c r="H419" s="254" t="str">
        <f t="shared" si="64"/>
        <v>-</v>
      </c>
      <c r="I419" s="254" t="str">
        <f t="shared" si="64"/>
        <v>-</v>
      </c>
      <c r="J419" s="254" t="str">
        <f t="shared" si="64"/>
        <v>-</v>
      </c>
      <c r="K419" s="254" t="str">
        <f t="shared" si="64"/>
        <v>-</v>
      </c>
      <c r="L419" s="254" t="str">
        <f t="shared" si="64"/>
        <v>-</v>
      </c>
      <c r="M419" s="254" t="str">
        <f t="shared" si="64"/>
        <v>-</v>
      </c>
      <c r="N419" s="255"/>
    </row>
    <row r="420" spans="1:14" s="256" customFormat="1" hidden="1" outlineLevel="2">
      <c r="A420" s="178"/>
      <c r="B420" s="257" t="s">
        <v>191</v>
      </c>
      <c r="C420" s="253" t="s">
        <v>172</v>
      </c>
      <c r="D420" s="173">
        <v>-3</v>
      </c>
      <c r="E420" s="252">
        <v>0.8</v>
      </c>
      <c r="F420" s="252"/>
      <c r="G420" s="254" t="str">
        <f t="shared" si="64"/>
        <v>-</v>
      </c>
      <c r="H420" s="254" t="str">
        <f t="shared" si="64"/>
        <v>-</v>
      </c>
      <c r="I420" s="254" t="str">
        <f t="shared" si="64"/>
        <v>-</v>
      </c>
      <c r="J420" s="254" t="str">
        <f t="shared" si="64"/>
        <v>-</v>
      </c>
      <c r="K420" s="254" t="str">
        <f t="shared" si="64"/>
        <v>-</v>
      </c>
      <c r="L420" s="254" t="str">
        <f t="shared" si="64"/>
        <v>-</v>
      </c>
      <c r="M420" s="254" t="str">
        <f t="shared" si="64"/>
        <v>-</v>
      </c>
      <c r="N420" s="255"/>
    </row>
    <row r="421" spans="1:14" s="256" customFormat="1" hidden="1" outlineLevel="2">
      <c r="A421" s="178"/>
      <c r="B421" s="257" t="s">
        <v>191</v>
      </c>
      <c r="C421" s="253" t="s">
        <v>172</v>
      </c>
      <c r="D421" s="173">
        <v>-1</v>
      </c>
      <c r="E421" s="252">
        <v>1.25</v>
      </c>
      <c r="F421" s="252"/>
      <c r="G421" s="254" t="str">
        <f t="shared" si="64"/>
        <v>-</v>
      </c>
      <c r="H421" s="254" t="str">
        <f t="shared" si="64"/>
        <v>-</v>
      </c>
      <c r="I421" s="254" t="str">
        <f t="shared" si="64"/>
        <v>-</v>
      </c>
      <c r="J421" s="254" t="str">
        <f t="shared" si="64"/>
        <v>-</v>
      </c>
      <c r="K421" s="254" t="str">
        <f t="shared" si="64"/>
        <v>-</v>
      </c>
      <c r="L421" s="254" t="str">
        <f t="shared" si="64"/>
        <v>-</v>
      </c>
      <c r="M421" s="254" t="str">
        <f t="shared" si="64"/>
        <v>-</v>
      </c>
      <c r="N421" s="255"/>
    </row>
    <row r="422" spans="1:14" s="256" customFormat="1" hidden="1" outlineLevel="2">
      <c r="A422" s="178"/>
      <c r="B422" s="257" t="s">
        <v>222</v>
      </c>
      <c r="C422" s="253" t="s">
        <v>172</v>
      </c>
      <c r="D422" s="173">
        <v>-1</v>
      </c>
      <c r="E422" s="252">
        <v>1</v>
      </c>
      <c r="F422" s="252"/>
      <c r="G422" s="254" t="str">
        <f t="shared" si="64"/>
        <v>-</v>
      </c>
      <c r="H422" s="254" t="str">
        <f t="shared" si="64"/>
        <v>-</v>
      </c>
      <c r="I422" s="254" t="str">
        <f t="shared" si="64"/>
        <v>-</v>
      </c>
      <c r="J422" s="254" t="str">
        <f t="shared" si="64"/>
        <v>-</v>
      </c>
      <c r="K422" s="254" t="str">
        <f t="shared" si="64"/>
        <v>-</v>
      </c>
      <c r="L422" s="254" t="str">
        <f t="shared" si="64"/>
        <v>-</v>
      </c>
      <c r="M422" s="254" t="str">
        <f t="shared" si="64"/>
        <v>-</v>
      </c>
      <c r="N422" s="255"/>
    </row>
    <row r="423" spans="1:14" s="256" customFormat="1" hidden="1" outlineLevel="2">
      <c r="A423" s="178"/>
      <c r="B423" s="257" t="s">
        <v>195</v>
      </c>
      <c r="C423" s="253" t="s">
        <v>172</v>
      </c>
      <c r="D423" s="173">
        <v>-1</v>
      </c>
      <c r="E423" s="252">
        <v>1.4</v>
      </c>
      <c r="F423" s="252"/>
      <c r="G423" s="254" t="str">
        <f t="shared" si="64"/>
        <v>-</v>
      </c>
      <c r="H423" s="254" t="str">
        <f t="shared" si="64"/>
        <v>-</v>
      </c>
      <c r="I423" s="254" t="str">
        <f t="shared" si="64"/>
        <v>-</v>
      </c>
      <c r="J423" s="254" t="str">
        <f t="shared" si="64"/>
        <v>-</v>
      </c>
      <c r="K423" s="254" t="str">
        <f t="shared" si="64"/>
        <v>-</v>
      </c>
      <c r="L423" s="254" t="str">
        <f t="shared" si="64"/>
        <v>-</v>
      </c>
      <c r="M423" s="254" t="str">
        <f t="shared" si="64"/>
        <v>-</v>
      </c>
      <c r="N423" s="255"/>
    </row>
    <row r="424" spans="1:14" s="256" customFormat="1" hidden="1" outlineLevel="2">
      <c r="A424" s="178"/>
      <c r="B424" s="252" t="s">
        <v>196</v>
      </c>
      <c r="C424" s="253" t="s">
        <v>173</v>
      </c>
      <c r="D424" s="173">
        <v>1</v>
      </c>
      <c r="E424" s="252">
        <v>3.3</v>
      </c>
      <c r="F424" s="252"/>
      <c r="G424" s="254" t="str">
        <f t="shared" si="64"/>
        <v>-</v>
      </c>
      <c r="H424" s="254" t="str">
        <f t="shared" si="64"/>
        <v>-</v>
      </c>
      <c r="I424" s="254">
        <f t="shared" si="64"/>
        <v>3.3</v>
      </c>
      <c r="J424" s="254" t="str">
        <f t="shared" si="64"/>
        <v>-</v>
      </c>
      <c r="K424" s="254" t="str">
        <f t="shared" si="64"/>
        <v>-</v>
      </c>
      <c r="L424" s="254" t="str">
        <f t="shared" si="64"/>
        <v>-</v>
      </c>
      <c r="M424" s="254" t="str">
        <f t="shared" si="64"/>
        <v>-</v>
      </c>
      <c r="N424" s="255"/>
    </row>
    <row r="425" spans="1:14" s="256" customFormat="1" hidden="1" outlineLevel="2">
      <c r="A425" s="178"/>
      <c r="B425" s="252" t="s">
        <v>198</v>
      </c>
      <c r="C425" s="253" t="s">
        <v>174</v>
      </c>
      <c r="D425" s="173">
        <v>1</v>
      </c>
      <c r="E425" s="252">
        <f>9.6+5.3</f>
        <v>14.899999999999999</v>
      </c>
      <c r="F425" s="252">
        <v>2.2999999999999998</v>
      </c>
      <c r="G425" s="254" t="str">
        <f t="shared" si="64"/>
        <v>-</v>
      </c>
      <c r="H425" s="254" t="str">
        <f t="shared" si="64"/>
        <v>-</v>
      </c>
      <c r="I425" s="254" t="str">
        <f t="shared" si="64"/>
        <v>-</v>
      </c>
      <c r="J425" s="254" t="str">
        <f t="shared" si="64"/>
        <v>-</v>
      </c>
      <c r="K425" s="254" t="str">
        <f t="shared" si="64"/>
        <v>-</v>
      </c>
      <c r="L425" s="254" t="str">
        <f t="shared" si="64"/>
        <v>-</v>
      </c>
      <c r="M425" s="254" t="str">
        <f t="shared" si="64"/>
        <v>-</v>
      </c>
      <c r="N425" s="255"/>
    </row>
    <row r="426" spans="1:14" s="256" customFormat="1" hidden="1" outlineLevel="2">
      <c r="A426" s="178"/>
      <c r="B426" s="257" t="s">
        <v>212</v>
      </c>
      <c r="C426" s="253" t="s">
        <v>174</v>
      </c>
      <c r="D426" s="173">
        <v>-2</v>
      </c>
      <c r="E426" s="252">
        <v>0.8</v>
      </c>
      <c r="F426" s="252">
        <v>2.2000000000000002</v>
      </c>
      <c r="G426" s="254" t="str">
        <f t="shared" si="64"/>
        <v>-</v>
      </c>
      <c r="H426" s="254" t="str">
        <f t="shared" si="64"/>
        <v>-</v>
      </c>
      <c r="I426" s="254" t="str">
        <f t="shared" si="64"/>
        <v>-</v>
      </c>
      <c r="J426" s="254" t="str">
        <f t="shared" si="64"/>
        <v>-</v>
      </c>
      <c r="K426" s="254" t="str">
        <f t="shared" si="64"/>
        <v>-</v>
      </c>
      <c r="L426" s="254" t="str">
        <f t="shared" si="64"/>
        <v>-</v>
      </c>
      <c r="M426" s="254" t="str">
        <f t="shared" si="64"/>
        <v>-</v>
      </c>
      <c r="N426" s="255"/>
    </row>
    <row r="427" spans="1:14" s="256" customFormat="1" hidden="1" outlineLevel="2">
      <c r="A427" s="178"/>
      <c r="B427" s="257" t="s">
        <v>199</v>
      </c>
      <c r="C427" s="253" t="s">
        <v>174</v>
      </c>
      <c r="D427" s="173">
        <v>-1</v>
      </c>
      <c r="E427" s="252">
        <v>1.55</v>
      </c>
      <c r="F427" s="252">
        <v>1.75</v>
      </c>
      <c r="G427" s="254" t="str">
        <f t="shared" si="64"/>
        <v>-</v>
      </c>
      <c r="H427" s="254" t="str">
        <f t="shared" si="64"/>
        <v>-</v>
      </c>
      <c r="I427" s="254" t="str">
        <f t="shared" si="64"/>
        <v>-</v>
      </c>
      <c r="J427" s="254" t="str">
        <f t="shared" si="64"/>
        <v>-</v>
      </c>
      <c r="K427" s="254" t="str">
        <f t="shared" si="64"/>
        <v>-</v>
      </c>
      <c r="L427" s="254" t="str">
        <f t="shared" si="64"/>
        <v>-</v>
      </c>
      <c r="M427" s="254" t="str">
        <f t="shared" si="64"/>
        <v>-</v>
      </c>
      <c r="N427" s="255"/>
    </row>
    <row r="428" spans="1:14" s="256" customFormat="1" hidden="1" outlineLevel="2">
      <c r="A428" s="178"/>
      <c r="B428" s="257" t="s">
        <v>200</v>
      </c>
      <c r="C428" s="253" t="s">
        <v>174</v>
      </c>
      <c r="D428" s="173">
        <v>-2</v>
      </c>
      <c r="E428" s="252">
        <v>0.85</v>
      </c>
      <c r="F428" s="252">
        <v>0.55000000000000004</v>
      </c>
      <c r="G428" s="254" t="str">
        <f t="shared" si="64"/>
        <v>-</v>
      </c>
      <c r="H428" s="254" t="str">
        <f t="shared" si="64"/>
        <v>-</v>
      </c>
      <c r="I428" s="254" t="str">
        <f t="shared" si="64"/>
        <v>-</v>
      </c>
      <c r="J428" s="254" t="str">
        <f t="shared" si="64"/>
        <v>-</v>
      </c>
      <c r="K428" s="254" t="str">
        <f t="shared" si="64"/>
        <v>-</v>
      </c>
      <c r="L428" s="254" t="str">
        <f t="shared" si="64"/>
        <v>-</v>
      </c>
      <c r="M428" s="254" t="str">
        <f t="shared" si="64"/>
        <v>-</v>
      </c>
      <c r="N428" s="255"/>
    </row>
    <row r="429" spans="1:14" s="256" customFormat="1" hidden="1" outlineLevel="2">
      <c r="A429" s="178"/>
      <c r="B429" s="258" t="s">
        <v>201</v>
      </c>
      <c r="C429" s="253" t="s">
        <v>174</v>
      </c>
      <c r="D429" s="173">
        <v>1</v>
      </c>
      <c r="E429" s="252">
        <v>1.9</v>
      </c>
      <c r="F429" s="252">
        <v>0.25</v>
      </c>
      <c r="G429" s="254" t="str">
        <f t="shared" si="64"/>
        <v>-</v>
      </c>
      <c r="H429" s="254" t="str">
        <f t="shared" si="64"/>
        <v>-</v>
      </c>
      <c r="I429" s="254" t="str">
        <f t="shared" si="64"/>
        <v>-</v>
      </c>
      <c r="J429" s="254" t="str">
        <f t="shared" si="64"/>
        <v>-</v>
      </c>
      <c r="K429" s="254" t="str">
        <f t="shared" si="64"/>
        <v>-</v>
      </c>
      <c r="L429" s="254" t="str">
        <f t="shared" si="64"/>
        <v>-</v>
      </c>
      <c r="M429" s="254" t="str">
        <f t="shared" si="64"/>
        <v>-</v>
      </c>
      <c r="N429" s="255"/>
    </row>
    <row r="430" spans="1:14" s="256" customFormat="1" hidden="1" outlineLevel="2">
      <c r="A430" s="178"/>
      <c r="B430" s="252" t="s">
        <v>202</v>
      </c>
      <c r="C430" s="253" t="s">
        <v>176</v>
      </c>
      <c r="D430" s="173">
        <v>1</v>
      </c>
      <c r="E430" s="252">
        <v>1.9</v>
      </c>
      <c r="F430" s="252">
        <v>0.9</v>
      </c>
      <c r="G430" s="254" t="str">
        <f t="shared" si="64"/>
        <v>-</v>
      </c>
      <c r="H430" s="254" t="str">
        <f t="shared" si="64"/>
        <v>-</v>
      </c>
      <c r="I430" s="254" t="str">
        <f t="shared" si="64"/>
        <v>-</v>
      </c>
      <c r="J430" s="254" t="str">
        <f t="shared" si="64"/>
        <v>-</v>
      </c>
      <c r="K430" s="254" t="str">
        <f t="shared" si="64"/>
        <v>-</v>
      </c>
      <c r="L430" s="254" t="str">
        <f t="shared" si="64"/>
        <v>-</v>
      </c>
      <c r="M430" s="254" t="str">
        <f t="shared" si="64"/>
        <v>-</v>
      </c>
      <c r="N430" s="255"/>
    </row>
    <row r="431" spans="1:14" s="256" customFormat="1" hidden="1" outlineLevel="2">
      <c r="A431" s="178"/>
      <c r="B431" s="257" t="s">
        <v>203</v>
      </c>
      <c r="C431" s="253" t="s">
        <v>176</v>
      </c>
      <c r="D431" s="173">
        <v>-1</v>
      </c>
      <c r="E431" s="252">
        <v>1.65</v>
      </c>
      <c r="F431" s="252">
        <v>0.7</v>
      </c>
      <c r="G431" s="254" t="str">
        <f t="shared" si="64"/>
        <v>-</v>
      </c>
      <c r="H431" s="254" t="str">
        <f t="shared" si="64"/>
        <v>-</v>
      </c>
      <c r="I431" s="254" t="str">
        <f t="shared" si="64"/>
        <v>-</v>
      </c>
      <c r="J431" s="254" t="str">
        <f t="shared" si="64"/>
        <v>-</v>
      </c>
      <c r="K431" s="254" t="str">
        <f t="shared" si="64"/>
        <v>-</v>
      </c>
      <c r="L431" s="254" t="str">
        <f t="shared" si="64"/>
        <v>-</v>
      </c>
      <c r="M431" s="254" t="str">
        <f t="shared" si="64"/>
        <v>-</v>
      </c>
      <c r="N431" s="255"/>
    </row>
    <row r="432" spans="1:14" s="256" customFormat="1" hidden="1" outlineLevel="2">
      <c r="A432" s="178"/>
      <c r="B432" s="252" t="s">
        <v>204</v>
      </c>
      <c r="C432" s="253" t="s">
        <v>177</v>
      </c>
      <c r="D432" s="173">
        <v>2</v>
      </c>
      <c r="E432" s="252"/>
      <c r="F432" s="252"/>
      <c r="G432" s="254" t="str">
        <f t="shared" si="64"/>
        <v>-</v>
      </c>
      <c r="H432" s="254" t="str">
        <f t="shared" si="64"/>
        <v>-</v>
      </c>
      <c r="I432" s="254" t="str">
        <f t="shared" si="64"/>
        <v>-</v>
      </c>
      <c r="J432" s="254" t="str">
        <f t="shared" si="64"/>
        <v>-</v>
      </c>
      <c r="K432" s="254">
        <f t="shared" si="64"/>
        <v>2</v>
      </c>
      <c r="L432" s="254" t="str">
        <f t="shared" si="64"/>
        <v>-</v>
      </c>
      <c r="M432" s="254" t="str">
        <f t="shared" si="64"/>
        <v>-</v>
      </c>
      <c r="N432" s="255"/>
    </row>
    <row r="433" spans="1:14" s="256" customFormat="1" hidden="1" outlineLevel="2">
      <c r="A433" s="178"/>
      <c r="B433" s="252" t="s">
        <v>205</v>
      </c>
      <c r="C433" s="253" t="s">
        <v>178</v>
      </c>
      <c r="D433" s="173">
        <v>1</v>
      </c>
      <c r="E433" s="252"/>
      <c r="F433" s="252"/>
      <c r="G433" s="254" t="str">
        <f t="shared" si="64"/>
        <v>-</v>
      </c>
      <c r="H433" s="254" t="str">
        <f t="shared" si="64"/>
        <v>-</v>
      </c>
      <c r="I433" s="254" t="str">
        <f t="shared" si="64"/>
        <v>-</v>
      </c>
      <c r="J433" s="254" t="str">
        <f t="shared" si="64"/>
        <v>-</v>
      </c>
      <c r="K433" s="254" t="str">
        <f t="shared" si="64"/>
        <v>-</v>
      </c>
      <c r="L433" s="254">
        <f t="shared" si="64"/>
        <v>1</v>
      </c>
      <c r="M433" s="254" t="str">
        <f t="shared" si="64"/>
        <v>-</v>
      </c>
      <c r="N433" s="255"/>
    </row>
    <row r="434" spans="1:14" s="256" customFormat="1" hidden="1" outlineLevel="2">
      <c r="A434" s="178"/>
      <c r="B434" s="252" t="s">
        <v>208</v>
      </c>
      <c r="C434" s="253" t="s">
        <v>179</v>
      </c>
      <c r="D434" s="173">
        <v>1</v>
      </c>
      <c r="E434" s="252"/>
      <c r="F434" s="252"/>
      <c r="G434" s="254" t="str">
        <f t="shared" si="64"/>
        <v>-</v>
      </c>
      <c r="H434" s="254" t="str">
        <f t="shared" si="64"/>
        <v>-</v>
      </c>
      <c r="I434" s="254" t="str">
        <f t="shared" si="64"/>
        <v>-</v>
      </c>
      <c r="J434" s="254" t="str">
        <f t="shared" si="64"/>
        <v>-</v>
      </c>
      <c r="K434" s="254" t="str">
        <f t="shared" si="64"/>
        <v>-</v>
      </c>
      <c r="L434" s="254" t="str">
        <f t="shared" si="64"/>
        <v>-</v>
      </c>
      <c r="M434" s="254">
        <f t="shared" si="64"/>
        <v>1</v>
      </c>
      <c r="N434" s="255"/>
    </row>
    <row r="435" spans="1:14" s="256" customFormat="1" hidden="1" outlineLevel="2">
      <c r="A435" s="259"/>
      <c r="B435" s="252"/>
      <c r="D435" s="253"/>
      <c r="E435" s="252"/>
      <c r="F435" s="252"/>
      <c r="G435" s="254" t="str">
        <f t="shared" ref="G435:M435" si="65">IF($D435=G$5,PRODUCT($D435:$F435),"-")</f>
        <v>-</v>
      </c>
      <c r="H435" s="254" t="str">
        <f t="shared" si="65"/>
        <v>-</v>
      </c>
      <c r="I435" s="254" t="str">
        <f t="shared" si="65"/>
        <v>-</v>
      </c>
      <c r="J435" s="254" t="str">
        <f t="shared" si="65"/>
        <v>-</v>
      </c>
      <c r="K435" s="254" t="str">
        <f t="shared" si="65"/>
        <v>-</v>
      </c>
      <c r="L435" s="254" t="str">
        <f t="shared" si="65"/>
        <v>-</v>
      </c>
      <c r="M435" s="254" t="str">
        <f t="shared" si="65"/>
        <v>-</v>
      </c>
      <c r="N435" s="255"/>
    </row>
    <row r="436" spans="1:14" s="251" customFormat="1" ht="15" hidden="1" outlineLevel="1" collapsed="1">
      <c r="A436" s="245"/>
      <c r="B436" s="246" t="s">
        <v>260</v>
      </c>
      <c r="C436" s="245"/>
      <c r="D436" s="247">
        <v>1</v>
      </c>
      <c r="E436" s="248"/>
      <c r="F436" s="248"/>
      <c r="G436" s="249">
        <f>SUBTOTAL(9,G437:G455)</f>
        <v>18.399999999999999</v>
      </c>
      <c r="H436" s="249">
        <f t="shared" ref="H436:M436" si="66">SUBTOTAL(9,H437:H455)</f>
        <v>7.7</v>
      </c>
      <c r="I436" s="249">
        <f t="shared" si="66"/>
        <v>3.3</v>
      </c>
      <c r="J436" s="249">
        <f t="shared" si="66"/>
        <v>0</v>
      </c>
      <c r="K436" s="249">
        <f t="shared" si="66"/>
        <v>1</v>
      </c>
      <c r="L436" s="249">
        <f t="shared" si="66"/>
        <v>1</v>
      </c>
      <c r="M436" s="249">
        <f t="shared" si="66"/>
        <v>0</v>
      </c>
      <c r="N436" s="250"/>
    </row>
    <row r="437" spans="1:14" s="256" customFormat="1" hidden="1" outlineLevel="2">
      <c r="A437" s="178"/>
      <c r="B437" s="252" t="s">
        <v>189</v>
      </c>
      <c r="C437" s="253" t="s">
        <v>169</v>
      </c>
      <c r="D437" s="173">
        <v>1</v>
      </c>
      <c r="E437" s="252">
        <v>18.399999999999999</v>
      </c>
      <c r="F437" s="252"/>
      <c r="G437" s="254">
        <f t="shared" si="64"/>
        <v>18.399999999999999</v>
      </c>
      <c r="H437" s="254" t="str">
        <f t="shared" si="64"/>
        <v>-</v>
      </c>
      <c r="I437" s="254" t="str">
        <f t="shared" si="64"/>
        <v>-</v>
      </c>
      <c r="J437" s="254" t="str">
        <f t="shared" si="64"/>
        <v>-</v>
      </c>
      <c r="K437" s="254" t="str">
        <f t="shared" si="64"/>
        <v>-</v>
      </c>
      <c r="L437" s="254" t="str">
        <f t="shared" si="64"/>
        <v>-</v>
      </c>
      <c r="M437" s="254" t="str">
        <f t="shared" si="64"/>
        <v>-</v>
      </c>
      <c r="N437" s="255"/>
    </row>
    <row r="438" spans="1:14" s="256" customFormat="1" hidden="1" outlineLevel="2">
      <c r="A438" s="178"/>
      <c r="B438" s="252" t="s">
        <v>190</v>
      </c>
      <c r="C438" s="253" t="s">
        <v>170</v>
      </c>
      <c r="D438" s="173">
        <v>1</v>
      </c>
      <c r="E438" s="252">
        <v>17.899999999999999</v>
      </c>
      <c r="F438" s="252"/>
      <c r="G438" s="254" t="str">
        <f t="shared" si="64"/>
        <v>-</v>
      </c>
      <c r="H438" s="254" t="str">
        <f t="shared" si="64"/>
        <v>-</v>
      </c>
      <c r="I438" s="254" t="str">
        <f t="shared" si="64"/>
        <v>-</v>
      </c>
      <c r="J438" s="254" t="str">
        <f t="shared" si="64"/>
        <v>-</v>
      </c>
      <c r="K438" s="254" t="str">
        <f t="shared" si="64"/>
        <v>-</v>
      </c>
      <c r="L438" s="254" t="str">
        <f t="shared" si="64"/>
        <v>-</v>
      </c>
      <c r="M438" s="254" t="str">
        <f t="shared" si="64"/>
        <v>-</v>
      </c>
      <c r="N438" s="255"/>
    </row>
    <row r="439" spans="1:14" s="256" customFormat="1" hidden="1" outlineLevel="2">
      <c r="A439" s="178"/>
      <c r="B439" s="257" t="s">
        <v>191</v>
      </c>
      <c r="C439" s="253" t="s">
        <v>170</v>
      </c>
      <c r="D439" s="173">
        <v>-1</v>
      </c>
      <c r="E439" s="252">
        <v>2.4</v>
      </c>
      <c r="F439" s="252"/>
      <c r="G439" s="254" t="str">
        <f t="shared" si="64"/>
        <v>-</v>
      </c>
      <c r="H439" s="254" t="str">
        <f t="shared" ref="G439:M454" si="67">IF($C439=H$5,PRODUCT($D439:$F439),"-")</f>
        <v>-</v>
      </c>
      <c r="I439" s="254" t="str">
        <f t="shared" si="67"/>
        <v>-</v>
      </c>
      <c r="J439" s="254" t="str">
        <f t="shared" si="67"/>
        <v>-</v>
      </c>
      <c r="K439" s="254" t="str">
        <f t="shared" si="67"/>
        <v>-</v>
      </c>
      <c r="L439" s="254" t="str">
        <f t="shared" si="67"/>
        <v>-</v>
      </c>
      <c r="M439" s="254" t="str">
        <f t="shared" si="67"/>
        <v>-</v>
      </c>
      <c r="N439" s="255"/>
    </row>
    <row r="440" spans="1:14" s="256" customFormat="1" hidden="1" outlineLevel="2">
      <c r="A440" s="178"/>
      <c r="B440" s="257" t="s">
        <v>192</v>
      </c>
      <c r="C440" s="253" t="s">
        <v>170</v>
      </c>
      <c r="D440" s="173">
        <v>-1</v>
      </c>
      <c r="E440" s="252">
        <v>2.8</v>
      </c>
      <c r="F440" s="252"/>
      <c r="G440" s="254" t="str">
        <f t="shared" si="67"/>
        <v>-</v>
      </c>
      <c r="H440" s="254" t="str">
        <f t="shared" si="67"/>
        <v>-</v>
      </c>
      <c r="I440" s="254" t="str">
        <f t="shared" si="67"/>
        <v>-</v>
      </c>
      <c r="J440" s="254" t="str">
        <f t="shared" si="67"/>
        <v>-</v>
      </c>
      <c r="K440" s="254" t="str">
        <f t="shared" si="67"/>
        <v>-</v>
      </c>
      <c r="L440" s="254" t="str">
        <f t="shared" si="67"/>
        <v>-</v>
      </c>
      <c r="M440" s="254" t="str">
        <f t="shared" si="67"/>
        <v>-</v>
      </c>
      <c r="N440" s="255"/>
    </row>
    <row r="441" spans="1:14" s="256" customFormat="1" hidden="1" outlineLevel="2">
      <c r="A441" s="178"/>
      <c r="B441" s="252" t="s">
        <v>193</v>
      </c>
      <c r="C441" s="253" t="s">
        <v>171</v>
      </c>
      <c r="D441" s="173">
        <v>1</v>
      </c>
      <c r="E441" s="252">
        <v>7.7</v>
      </c>
      <c r="F441" s="252"/>
      <c r="G441" s="254" t="str">
        <f t="shared" si="67"/>
        <v>-</v>
      </c>
      <c r="H441" s="254">
        <f t="shared" si="67"/>
        <v>7.7</v>
      </c>
      <c r="I441" s="254" t="str">
        <f t="shared" si="67"/>
        <v>-</v>
      </c>
      <c r="J441" s="254" t="str">
        <f t="shared" si="67"/>
        <v>-</v>
      </c>
      <c r="K441" s="254" t="str">
        <f t="shared" si="67"/>
        <v>-</v>
      </c>
      <c r="L441" s="254" t="str">
        <f t="shared" si="67"/>
        <v>-</v>
      </c>
      <c r="M441" s="254" t="str">
        <f t="shared" si="67"/>
        <v>-</v>
      </c>
      <c r="N441" s="255"/>
    </row>
    <row r="442" spans="1:14" s="256" customFormat="1" hidden="1" outlineLevel="2">
      <c r="A442" s="178"/>
      <c r="B442" s="252" t="s">
        <v>194</v>
      </c>
      <c r="C442" s="253" t="s">
        <v>172</v>
      </c>
      <c r="D442" s="173">
        <v>1</v>
      </c>
      <c r="E442" s="252">
        <v>8.8000000000000007</v>
      </c>
      <c r="F442" s="252"/>
      <c r="G442" s="254" t="str">
        <f t="shared" si="67"/>
        <v>-</v>
      </c>
      <c r="H442" s="254" t="str">
        <f t="shared" si="67"/>
        <v>-</v>
      </c>
      <c r="I442" s="254" t="str">
        <f t="shared" si="67"/>
        <v>-</v>
      </c>
      <c r="J442" s="254" t="str">
        <f t="shared" si="67"/>
        <v>-</v>
      </c>
      <c r="K442" s="254" t="str">
        <f t="shared" si="67"/>
        <v>-</v>
      </c>
      <c r="L442" s="254" t="str">
        <f t="shared" si="67"/>
        <v>-</v>
      </c>
      <c r="M442" s="254" t="str">
        <f t="shared" si="67"/>
        <v>-</v>
      </c>
      <c r="N442" s="255"/>
    </row>
    <row r="443" spans="1:14" s="256" customFormat="1" hidden="1" outlineLevel="2">
      <c r="A443" s="178"/>
      <c r="B443" s="257" t="s">
        <v>191</v>
      </c>
      <c r="C443" s="253" t="s">
        <v>172</v>
      </c>
      <c r="D443" s="173">
        <v>-2</v>
      </c>
      <c r="E443" s="252">
        <v>0.8</v>
      </c>
      <c r="F443" s="252"/>
      <c r="G443" s="254" t="str">
        <f t="shared" si="67"/>
        <v>-</v>
      </c>
      <c r="H443" s="254" t="str">
        <f t="shared" si="67"/>
        <v>-</v>
      </c>
      <c r="I443" s="254" t="str">
        <f t="shared" si="67"/>
        <v>-</v>
      </c>
      <c r="J443" s="254" t="str">
        <f t="shared" si="67"/>
        <v>-</v>
      </c>
      <c r="K443" s="254" t="str">
        <f t="shared" si="67"/>
        <v>-</v>
      </c>
      <c r="L443" s="254" t="str">
        <f t="shared" si="67"/>
        <v>-</v>
      </c>
      <c r="M443" s="254" t="str">
        <f t="shared" si="67"/>
        <v>-</v>
      </c>
      <c r="N443" s="255"/>
    </row>
    <row r="444" spans="1:14" s="256" customFormat="1" hidden="1" outlineLevel="2">
      <c r="A444" s="178"/>
      <c r="B444" s="257" t="s">
        <v>195</v>
      </c>
      <c r="C444" s="253" t="s">
        <v>172</v>
      </c>
      <c r="D444" s="173">
        <v>-1</v>
      </c>
      <c r="E444" s="252">
        <v>1.6</v>
      </c>
      <c r="F444" s="252"/>
      <c r="G444" s="254" t="str">
        <f t="shared" si="67"/>
        <v>-</v>
      </c>
      <c r="H444" s="254" t="str">
        <f t="shared" si="67"/>
        <v>-</v>
      </c>
      <c r="I444" s="254" t="str">
        <f t="shared" si="67"/>
        <v>-</v>
      </c>
      <c r="J444" s="254" t="str">
        <f t="shared" si="67"/>
        <v>-</v>
      </c>
      <c r="K444" s="254" t="str">
        <f t="shared" si="67"/>
        <v>-</v>
      </c>
      <c r="L444" s="254" t="str">
        <f t="shared" si="67"/>
        <v>-</v>
      </c>
      <c r="M444" s="254" t="str">
        <f t="shared" si="67"/>
        <v>-</v>
      </c>
      <c r="N444" s="255"/>
    </row>
    <row r="445" spans="1:14" s="256" customFormat="1" hidden="1" outlineLevel="2">
      <c r="A445" s="178"/>
      <c r="B445" s="252" t="s">
        <v>196</v>
      </c>
      <c r="C445" s="253" t="s">
        <v>173</v>
      </c>
      <c r="D445" s="173">
        <v>1</v>
      </c>
      <c r="E445" s="252">
        <v>3.3</v>
      </c>
      <c r="F445" s="252"/>
      <c r="G445" s="254" t="str">
        <f t="shared" si="67"/>
        <v>-</v>
      </c>
      <c r="H445" s="254" t="str">
        <f t="shared" si="67"/>
        <v>-</v>
      </c>
      <c r="I445" s="254">
        <f t="shared" si="67"/>
        <v>3.3</v>
      </c>
      <c r="J445" s="254" t="str">
        <f t="shared" si="67"/>
        <v>-</v>
      </c>
      <c r="K445" s="254" t="str">
        <f t="shared" si="67"/>
        <v>-</v>
      </c>
      <c r="L445" s="254" t="str">
        <f t="shared" si="67"/>
        <v>-</v>
      </c>
      <c r="M445" s="254" t="str">
        <f t="shared" si="67"/>
        <v>-</v>
      </c>
      <c r="N445" s="255"/>
    </row>
    <row r="446" spans="1:14" s="256" customFormat="1" hidden="1" outlineLevel="2">
      <c r="A446" s="178"/>
      <c r="B446" s="252" t="s">
        <v>198</v>
      </c>
      <c r="C446" s="253" t="s">
        <v>174</v>
      </c>
      <c r="D446" s="173">
        <v>1</v>
      </c>
      <c r="E446" s="252">
        <v>9.8000000000000007</v>
      </c>
      <c r="F446" s="252">
        <v>2.2999999999999998</v>
      </c>
      <c r="G446" s="254" t="str">
        <f t="shared" si="67"/>
        <v>-</v>
      </c>
      <c r="H446" s="254" t="str">
        <f t="shared" si="67"/>
        <v>-</v>
      </c>
      <c r="I446" s="254" t="str">
        <f t="shared" si="67"/>
        <v>-</v>
      </c>
      <c r="J446" s="254" t="str">
        <f t="shared" si="67"/>
        <v>-</v>
      </c>
      <c r="K446" s="254" t="str">
        <f t="shared" si="67"/>
        <v>-</v>
      </c>
      <c r="L446" s="254" t="str">
        <f t="shared" si="67"/>
        <v>-</v>
      </c>
      <c r="M446" s="254" t="str">
        <f t="shared" si="67"/>
        <v>-</v>
      </c>
      <c r="N446" s="255"/>
    </row>
    <row r="447" spans="1:14" s="256" customFormat="1" hidden="1" outlineLevel="2">
      <c r="A447" s="178"/>
      <c r="B447" s="257" t="s">
        <v>212</v>
      </c>
      <c r="C447" s="253" t="s">
        <v>174</v>
      </c>
      <c r="D447" s="173">
        <v>-1</v>
      </c>
      <c r="E447" s="252">
        <v>0.8</v>
      </c>
      <c r="F447" s="252">
        <v>2.2200000000000002</v>
      </c>
      <c r="G447" s="254" t="str">
        <f t="shared" si="67"/>
        <v>-</v>
      </c>
      <c r="H447" s="254" t="str">
        <f t="shared" si="67"/>
        <v>-</v>
      </c>
      <c r="I447" s="254" t="str">
        <f t="shared" si="67"/>
        <v>-</v>
      </c>
      <c r="J447" s="254" t="str">
        <f t="shared" si="67"/>
        <v>-</v>
      </c>
      <c r="K447" s="254" t="str">
        <f t="shared" si="67"/>
        <v>-</v>
      </c>
      <c r="L447" s="254" t="str">
        <f t="shared" si="67"/>
        <v>-</v>
      </c>
      <c r="M447" s="254" t="str">
        <f t="shared" si="67"/>
        <v>-</v>
      </c>
      <c r="N447" s="255"/>
    </row>
    <row r="448" spans="1:14" s="256" customFormat="1" hidden="1" outlineLevel="2">
      <c r="A448" s="178"/>
      <c r="B448" s="257" t="s">
        <v>199</v>
      </c>
      <c r="C448" s="253" t="s">
        <v>174</v>
      </c>
      <c r="D448" s="173">
        <v>-1</v>
      </c>
      <c r="E448" s="252">
        <v>1.55</v>
      </c>
      <c r="F448" s="252">
        <v>1.75</v>
      </c>
      <c r="G448" s="254" t="str">
        <f t="shared" si="67"/>
        <v>-</v>
      </c>
      <c r="H448" s="254" t="str">
        <f t="shared" si="67"/>
        <v>-</v>
      </c>
      <c r="I448" s="254" t="str">
        <f t="shared" si="67"/>
        <v>-</v>
      </c>
      <c r="J448" s="254" t="str">
        <f t="shared" si="67"/>
        <v>-</v>
      </c>
      <c r="K448" s="254" t="str">
        <f t="shared" si="67"/>
        <v>-</v>
      </c>
      <c r="L448" s="254" t="str">
        <f t="shared" si="67"/>
        <v>-</v>
      </c>
      <c r="M448" s="254" t="str">
        <f t="shared" si="67"/>
        <v>-</v>
      </c>
      <c r="N448" s="255"/>
    </row>
    <row r="449" spans="1:14" s="256" customFormat="1" hidden="1" outlineLevel="2">
      <c r="A449" s="178"/>
      <c r="B449" s="257" t="s">
        <v>200</v>
      </c>
      <c r="C449" s="253" t="s">
        <v>174</v>
      </c>
      <c r="D449" s="173">
        <v>-2</v>
      </c>
      <c r="E449" s="252">
        <v>0.85</v>
      </c>
      <c r="F449" s="252">
        <v>0.55000000000000004</v>
      </c>
      <c r="G449" s="254" t="str">
        <f t="shared" si="67"/>
        <v>-</v>
      </c>
      <c r="H449" s="254" t="str">
        <f t="shared" si="67"/>
        <v>-</v>
      </c>
      <c r="I449" s="254" t="str">
        <f t="shared" si="67"/>
        <v>-</v>
      </c>
      <c r="J449" s="254" t="str">
        <f t="shared" si="67"/>
        <v>-</v>
      </c>
      <c r="K449" s="254" t="str">
        <f t="shared" si="67"/>
        <v>-</v>
      </c>
      <c r="L449" s="254" t="str">
        <f t="shared" si="67"/>
        <v>-</v>
      </c>
      <c r="M449" s="254" t="str">
        <f t="shared" si="67"/>
        <v>-</v>
      </c>
      <c r="N449" s="255"/>
    </row>
    <row r="450" spans="1:14" s="256" customFormat="1" hidden="1" outlineLevel="2">
      <c r="A450" s="178"/>
      <c r="B450" s="258" t="s">
        <v>201</v>
      </c>
      <c r="C450" s="253" t="s">
        <v>174</v>
      </c>
      <c r="D450" s="173">
        <v>1</v>
      </c>
      <c r="E450" s="252">
        <v>1.9</v>
      </c>
      <c r="F450" s="252">
        <v>0.25</v>
      </c>
      <c r="G450" s="254" t="str">
        <f t="shared" si="67"/>
        <v>-</v>
      </c>
      <c r="H450" s="254" t="str">
        <f t="shared" si="67"/>
        <v>-</v>
      </c>
      <c r="I450" s="254" t="str">
        <f t="shared" si="67"/>
        <v>-</v>
      </c>
      <c r="J450" s="254" t="str">
        <f t="shared" si="67"/>
        <v>-</v>
      </c>
      <c r="K450" s="254" t="str">
        <f t="shared" si="67"/>
        <v>-</v>
      </c>
      <c r="L450" s="254" t="str">
        <f t="shared" si="67"/>
        <v>-</v>
      </c>
      <c r="M450" s="254" t="str">
        <f t="shared" si="67"/>
        <v>-</v>
      </c>
      <c r="N450" s="255"/>
    </row>
    <row r="451" spans="1:14" s="256" customFormat="1" hidden="1" outlineLevel="2">
      <c r="A451" s="178"/>
      <c r="B451" s="252" t="s">
        <v>202</v>
      </c>
      <c r="C451" s="253" t="s">
        <v>176</v>
      </c>
      <c r="D451" s="173">
        <v>1</v>
      </c>
      <c r="E451" s="252">
        <v>1.9</v>
      </c>
      <c r="F451" s="252">
        <v>0.9</v>
      </c>
      <c r="G451" s="254" t="str">
        <f t="shared" si="67"/>
        <v>-</v>
      </c>
      <c r="H451" s="254" t="str">
        <f t="shared" si="67"/>
        <v>-</v>
      </c>
      <c r="I451" s="254" t="str">
        <f t="shared" si="67"/>
        <v>-</v>
      </c>
      <c r="J451" s="254" t="str">
        <f t="shared" si="67"/>
        <v>-</v>
      </c>
      <c r="K451" s="254" t="str">
        <f t="shared" si="67"/>
        <v>-</v>
      </c>
      <c r="L451" s="254" t="str">
        <f t="shared" si="67"/>
        <v>-</v>
      </c>
      <c r="M451" s="254" t="str">
        <f t="shared" si="67"/>
        <v>-</v>
      </c>
      <c r="N451" s="255"/>
    </row>
    <row r="452" spans="1:14" s="256" customFormat="1" hidden="1" outlineLevel="2">
      <c r="A452" s="178"/>
      <c r="B452" s="257" t="s">
        <v>203</v>
      </c>
      <c r="C452" s="253" t="s">
        <v>176</v>
      </c>
      <c r="D452" s="173">
        <v>-1</v>
      </c>
      <c r="E452" s="252">
        <v>1.65</v>
      </c>
      <c r="F452" s="252">
        <v>0.7</v>
      </c>
      <c r="G452" s="254" t="str">
        <f t="shared" si="67"/>
        <v>-</v>
      </c>
      <c r="H452" s="254" t="str">
        <f t="shared" si="67"/>
        <v>-</v>
      </c>
      <c r="I452" s="254" t="str">
        <f t="shared" si="67"/>
        <v>-</v>
      </c>
      <c r="J452" s="254" t="str">
        <f t="shared" si="67"/>
        <v>-</v>
      </c>
      <c r="K452" s="254" t="str">
        <f t="shared" si="67"/>
        <v>-</v>
      </c>
      <c r="L452" s="254" t="str">
        <f t="shared" si="67"/>
        <v>-</v>
      </c>
      <c r="M452" s="254" t="str">
        <f t="shared" si="67"/>
        <v>-</v>
      </c>
      <c r="N452" s="255"/>
    </row>
    <row r="453" spans="1:14" s="256" customFormat="1" hidden="1" outlineLevel="2">
      <c r="A453" s="178"/>
      <c r="B453" s="252" t="s">
        <v>204</v>
      </c>
      <c r="C453" s="253" t="s">
        <v>177</v>
      </c>
      <c r="D453" s="173">
        <v>1</v>
      </c>
      <c r="E453" s="252"/>
      <c r="F453" s="252"/>
      <c r="G453" s="254" t="str">
        <f t="shared" si="67"/>
        <v>-</v>
      </c>
      <c r="H453" s="254" t="str">
        <f t="shared" si="67"/>
        <v>-</v>
      </c>
      <c r="I453" s="254" t="str">
        <f t="shared" si="67"/>
        <v>-</v>
      </c>
      <c r="J453" s="254" t="str">
        <f t="shared" si="67"/>
        <v>-</v>
      </c>
      <c r="K453" s="254">
        <f t="shared" si="67"/>
        <v>1</v>
      </c>
      <c r="L453" s="254" t="str">
        <f t="shared" si="67"/>
        <v>-</v>
      </c>
      <c r="M453" s="254" t="str">
        <f t="shared" si="67"/>
        <v>-</v>
      </c>
      <c r="N453" s="255"/>
    </row>
    <row r="454" spans="1:14" s="256" customFormat="1" hidden="1" outlineLevel="2">
      <c r="A454" s="178"/>
      <c r="B454" s="252" t="s">
        <v>205</v>
      </c>
      <c r="C454" s="253" t="s">
        <v>178</v>
      </c>
      <c r="D454" s="173">
        <v>1</v>
      </c>
      <c r="E454" s="252"/>
      <c r="F454" s="252"/>
      <c r="G454" s="254" t="str">
        <f t="shared" si="67"/>
        <v>-</v>
      </c>
      <c r="H454" s="254" t="str">
        <f t="shared" si="67"/>
        <v>-</v>
      </c>
      <c r="I454" s="254" t="str">
        <f t="shared" si="67"/>
        <v>-</v>
      </c>
      <c r="J454" s="254" t="str">
        <f t="shared" si="67"/>
        <v>-</v>
      </c>
      <c r="K454" s="254" t="str">
        <f t="shared" si="67"/>
        <v>-</v>
      </c>
      <c r="L454" s="254">
        <f t="shared" si="67"/>
        <v>1</v>
      </c>
      <c r="M454" s="254" t="str">
        <f t="shared" si="67"/>
        <v>-</v>
      </c>
      <c r="N454" s="255"/>
    </row>
    <row r="455" spans="1:14" s="256" customFormat="1" hidden="1" outlineLevel="2">
      <c r="A455" s="259"/>
      <c r="B455" s="252"/>
      <c r="C455" s="253"/>
      <c r="D455" s="173"/>
      <c r="E455" s="252"/>
      <c r="F455" s="252"/>
      <c r="G455" s="254" t="str">
        <f t="shared" ref="G455:M455" si="68">IF($C455=G$5,PRODUCT($D455:$F455),"-")</f>
        <v>-</v>
      </c>
      <c r="H455" s="254" t="str">
        <f t="shared" si="68"/>
        <v>-</v>
      </c>
      <c r="I455" s="254" t="str">
        <f t="shared" si="68"/>
        <v>-</v>
      </c>
      <c r="J455" s="254" t="str">
        <f t="shared" si="68"/>
        <v>-</v>
      </c>
      <c r="K455" s="254" t="str">
        <f t="shared" si="68"/>
        <v>-</v>
      </c>
      <c r="L455" s="254" t="str">
        <f t="shared" si="68"/>
        <v>-</v>
      </c>
      <c r="M455" s="254" t="str">
        <f t="shared" si="68"/>
        <v>-</v>
      </c>
      <c r="N455" s="255"/>
    </row>
    <row r="456" spans="1:14" s="236" customFormat="1" ht="15" hidden="1" outlineLevel="1">
      <c r="A456" s="260"/>
      <c r="B456" s="261" t="s">
        <v>261</v>
      </c>
      <c r="C456" s="260"/>
      <c r="D456" s="262" t="s">
        <v>262</v>
      </c>
      <c r="E456" s="263"/>
      <c r="F456" s="263"/>
      <c r="G456" s="264">
        <f t="shared" ref="G456:M456" si="69">SUM(G$370,G$391,G$413,G$436)</f>
        <v>78.5</v>
      </c>
      <c r="H456" s="264">
        <f t="shared" si="69"/>
        <v>135.20000000000002</v>
      </c>
      <c r="I456" s="264">
        <f t="shared" si="69"/>
        <v>24.080000000000002</v>
      </c>
      <c r="J456" s="264">
        <f t="shared" si="69"/>
        <v>0.72</v>
      </c>
      <c r="K456" s="264">
        <f t="shared" si="69"/>
        <v>5</v>
      </c>
      <c r="L456" s="264">
        <f t="shared" si="69"/>
        <v>6</v>
      </c>
      <c r="M456" s="264">
        <f t="shared" si="69"/>
        <v>2</v>
      </c>
      <c r="N456" s="265" t="s">
        <v>263</v>
      </c>
    </row>
    <row r="457" spans="1:14" s="236" customFormat="1" ht="15" hidden="1" outlineLevel="1">
      <c r="A457" s="260"/>
      <c r="B457" s="261" t="s">
        <v>264</v>
      </c>
      <c r="C457" s="260"/>
      <c r="D457" s="262" t="s">
        <v>232</v>
      </c>
      <c r="E457" s="263"/>
      <c r="F457" s="263"/>
      <c r="G457" s="264">
        <f>G369*2</f>
        <v>163.80000000000001</v>
      </c>
      <c r="H457" s="264">
        <f t="shared" ref="H457:M457" si="70">H369*2</f>
        <v>54.4</v>
      </c>
      <c r="I457" s="264">
        <f t="shared" si="70"/>
        <v>33.72</v>
      </c>
      <c r="J457" s="264">
        <f t="shared" si="70"/>
        <v>2.16</v>
      </c>
      <c r="K457" s="264">
        <f t="shared" si="70"/>
        <v>8</v>
      </c>
      <c r="L457" s="264">
        <f t="shared" si="70"/>
        <v>8</v>
      </c>
      <c r="M457" s="264">
        <f t="shared" si="70"/>
        <v>0</v>
      </c>
      <c r="N457" s="265" t="s">
        <v>265</v>
      </c>
    </row>
    <row r="458" spans="1:14" s="236" customFormat="1" ht="15" hidden="1" outlineLevel="1">
      <c r="A458" s="260"/>
      <c r="B458" s="261" t="s">
        <v>266</v>
      </c>
      <c r="C458" s="260"/>
      <c r="D458" s="262" t="s">
        <v>267</v>
      </c>
      <c r="E458" s="263"/>
      <c r="F458" s="263"/>
      <c r="G458" s="264">
        <f t="shared" ref="G458:M458" si="71">SUM(G328,G346,G365,G366,G367)</f>
        <v>129.10000000000002</v>
      </c>
      <c r="H458" s="264">
        <f t="shared" si="71"/>
        <v>43.4</v>
      </c>
      <c r="I458" s="264">
        <f t="shared" si="71"/>
        <v>38.82</v>
      </c>
      <c r="J458" s="264">
        <f t="shared" si="71"/>
        <v>1.44</v>
      </c>
      <c r="K458" s="264">
        <f t="shared" si="71"/>
        <v>5</v>
      </c>
      <c r="L458" s="264">
        <f t="shared" si="71"/>
        <v>5</v>
      </c>
      <c r="M458" s="264">
        <f t="shared" si="71"/>
        <v>1</v>
      </c>
      <c r="N458" s="265" t="s">
        <v>268</v>
      </c>
    </row>
    <row r="459" spans="1:14" s="251" customFormat="1" ht="15" hidden="1" outlineLevel="1" collapsed="1">
      <c r="A459" s="245"/>
      <c r="B459" s="246" t="s">
        <v>245</v>
      </c>
      <c r="C459" s="245"/>
      <c r="D459" s="247">
        <v>1</v>
      </c>
      <c r="E459" s="248"/>
      <c r="F459" s="248"/>
      <c r="G459" s="249">
        <f t="shared" ref="G459:M459" si="72">SUBTOTAL(9,G460:G466)</f>
        <v>188.09999999999997</v>
      </c>
      <c r="H459" s="249">
        <f t="shared" si="72"/>
        <v>27.9</v>
      </c>
      <c r="I459" s="249">
        <f t="shared" si="72"/>
        <v>0</v>
      </c>
      <c r="J459" s="249">
        <f t="shared" si="72"/>
        <v>0</v>
      </c>
      <c r="K459" s="249">
        <f t="shared" si="72"/>
        <v>0</v>
      </c>
      <c r="L459" s="249">
        <f t="shared" si="72"/>
        <v>0</v>
      </c>
      <c r="M459" s="249">
        <f t="shared" si="72"/>
        <v>0</v>
      </c>
      <c r="N459" s="250"/>
    </row>
    <row r="460" spans="1:14" s="256" customFormat="1" hidden="1" outlineLevel="2">
      <c r="A460" s="178"/>
      <c r="B460" s="252" t="s">
        <v>189</v>
      </c>
      <c r="C460" s="253" t="s">
        <v>169</v>
      </c>
      <c r="D460" s="173">
        <v>1</v>
      </c>
      <c r="E460" s="252">
        <v>417.4</v>
      </c>
      <c r="F460" s="252"/>
      <c r="G460" s="254">
        <f t="shared" ref="G460:M466" si="73">IF($C460=G$5,PRODUCT($D460:$F460),"-")</f>
        <v>417.4</v>
      </c>
      <c r="H460" s="254" t="str">
        <f t="shared" si="73"/>
        <v>-</v>
      </c>
      <c r="I460" s="254" t="str">
        <f t="shared" si="73"/>
        <v>-</v>
      </c>
      <c r="J460" s="254" t="str">
        <f t="shared" si="73"/>
        <v>-</v>
      </c>
      <c r="K460" s="254" t="str">
        <f t="shared" si="73"/>
        <v>-</v>
      </c>
      <c r="L460" s="254" t="str">
        <f t="shared" si="73"/>
        <v>-</v>
      </c>
      <c r="M460" s="254" t="str">
        <f t="shared" si="73"/>
        <v>-</v>
      </c>
      <c r="N460" s="255"/>
    </row>
    <row r="461" spans="1:14" s="256" customFormat="1" hidden="1" outlineLevel="2">
      <c r="A461" s="178"/>
      <c r="B461" s="257" t="s">
        <v>246</v>
      </c>
      <c r="C461" s="253" t="s">
        <v>169</v>
      </c>
      <c r="D461" s="173">
        <v>-1</v>
      </c>
      <c r="E461" s="252">
        <v>229.3</v>
      </c>
      <c r="F461" s="252"/>
      <c r="G461" s="254">
        <f t="shared" si="73"/>
        <v>-229.3</v>
      </c>
      <c r="H461" s="254" t="str">
        <f t="shared" si="73"/>
        <v>-</v>
      </c>
      <c r="I461" s="254" t="str">
        <f t="shared" si="73"/>
        <v>-</v>
      </c>
      <c r="J461" s="254" t="str">
        <f t="shared" si="73"/>
        <v>-</v>
      </c>
      <c r="K461" s="254" t="str">
        <f t="shared" si="73"/>
        <v>-</v>
      </c>
      <c r="L461" s="254" t="str">
        <f t="shared" si="73"/>
        <v>-</v>
      </c>
      <c r="M461" s="254" t="str">
        <f t="shared" si="73"/>
        <v>-</v>
      </c>
      <c r="N461" s="255"/>
    </row>
    <row r="462" spans="1:14" s="256" customFormat="1" hidden="1" outlineLevel="2">
      <c r="A462" s="178"/>
      <c r="B462" s="252" t="s">
        <v>190</v>
      </c>
      <c r="C462" s="253" t="s">
        <v>170</v>
      </c>
      <c r="D462" s="173">
        <v>1</v>
      </c>
      <c r="E462" s="252">
        <f>147.2+76.7</f>
        <v>223.89999999999998</v>
      </c>
      <c r="F462" s="252"/>
      <c r="G462" s="254" t="str">
        <f t="shared" si="73"/>
        <v>-</v>
      </c>
      <c r="H462" s="254" t="str">
        <f t="shared" si="73"/>
        <v>-</v>
      </c>
      <c r="I462" s="254" t="str">
        <f t="shared" si="73"/>
        <v>-</v>
      </c>
      <c r="J462" s="254" t="str">
        <f t="shared" si="73"/>
        <v>-</v>
      </c>
      <c r="K462" s="254" t="str">
        <f t="shared" si="73"/>
        <v>-</v>
      </c>
      <c r="L462" s="254" t="str">
        <f t="shared" si="73"/>
        <v>-</v>
      </c>
      <c r="M462" s="254" t="str">
        <f t="shared" si="73"/>
        <v>-</v>
      </c>
      <c r="N462" s="255"/>
    </row>
    <row r="463" spans="1:14" s="256" customFormat="1" hidden="1" outlineLevel="2">
      <c r="A463" s="178"/>
      <c r="B463" s="266" t="s">
        <v>247</v>
      </c>
      <c r="C463" s="253" t="s">
        <v>170</v>
      </c>
      <c r="D463" s="173">
        <v>-2</v>
      </c>
      <c r="E463" s="252">
        <f>8.7+1*2+0.8*12+1.25*2</f>
        <v>22.8</v>
      </c>
      <c r="F463" s="252"/>
      <c r="G463" s="254" t="str">
        <f t="shared" si="73"/>
        <v>-</v>
      </c>
      <c r="H463" s="254" t="str">
        <f t="shared" si="73"/>
        <v>-</v>
      </c>
      <c r="I463" s="254" t="str">
        <f t="shared" si="73"/>
        <v>-</v>
      </c>
      <c r="J463" s="254" t="str">
        <f t="shared" si="73"/>
        <v>-</v>
      </c>
      <c r="K463" s="254" t="str">
        <f t="shared" si="73"/>
        <v>-</v>
      </c>
      <c r="L463" s="254" t="str">
        <f t="shared" si="73"/>
        <v>-</v>
      </c>
      <c r="M463" s="254" t="str">
        <f t="shared" si="73"/>
        <v>-</v>
      </c>
      <c r="N463" s="255"/>
    </row>
    <row r="464" spans="1:14" s="256" customFormat="1" hidden="1" outlineLevel="2">
      <c r="A464" s="178"/>
      <c r="B464" s="252" t="s">
        <v>193</v>
      </c>
      <c r="C464" s="253" t="s">
        <v>171</v>
      </c>
      <c r="D464" s="173">
        <v>1</v>
      </c>
      <c r="E464" s="252">
        <v>27.9</v>
      </c>
      <c r="F464" s="252"/>
      <c r="G464" s="254" t="str">
        <f t="shared" si="73"/>
        <v>-</v>
      </c>
      <c r="H464" s="254">
        <f t="shared" si="73"/>
        <v>27.9</v>
      </c>
      <c r="I464" s="254" t="str">
        <f t="shared" si="73"/>
        <v>-</v>
      </c>
      <c r="J464" s="254" t="str">
        <f t="shared" si="73"/>
        <v>-</v>
      </c>
      <c r="K464" s="254" t="str">
        <f t="shared" si="73"/>
        <v>-</v>
      </c>
      <c r="L464" s="254" t="str">
        <f t="shared" si="73"/>
        <v>-</v>
      </c>
      <c r="M464" s="254" t="str">
        <f t="shared" si="73"/>
        <v>-</v>
      </c>
      <c r="N464" s="255"/>
    </row>
    <row r="465" spans="1:14" s="256" customFormat="1" hidden="1" outlineLevel="2">
      <c r="A465" s="178"/>
      <c r="B465" s="252" t="s">
        <v>194</v>
      </c>
      <c r="C465" s="253" t="s">
        <v>172</v>
      </c>
      <c r="D465" s="173">
        <v>1</v>
      </c>
      <c r="E465" s="252">
        <v>31.5</v>
      </c>
      <c r="F465" s="252"/>
      <c r="G465" s="254" t="str">
        <f t="shared" si="73"/>
        <v>-</v>
      </c>
      <c r="H465" s="254" t="str">
        <f t="shared" si="73"/>
        <v>-</v>
      </c>
      <c r="I465" s="254" t="str">
        <f t="shared" si="73"/>
        <v>-</v>
      </c>
      <c r="J465" s="254" t="str">
        <f t="shared" si="73"/>
        <v>-</v>
      </c>
      <c r="K465" s="254" t="str">
        <f t="shared" si="73"/>
        <v>-</v>
      </c>
      <c r="L465" s="254" t="str">
        <f t="shared" si="73"/>
        <v>-</v>
      </c>
      <c r="M465" s="254" t="str">
        <f t="shared" si="73"/>
        <v>-</v>
      </c>
      <c r="N465" s="255"/>
    </row>
    <row r="466" spans="1:14" s="256" customFormat="1" hidden="1" outlineLevel="2">
      <c r="A466" s="259"/>
      <c r="B466" s="252"/>
      <c r="C466" s="253"/>
      <c r="D466" s="173"/>
      <c r="E466" s="252"/>
      <c r="F466" s="252"/>
      <c r="G466" s="254" t="str">
        <f t="shared" si="73"/>
        <v>-</v>
      </c>
      <c r="H466" s="254" t="str">
        <f t="shared" si="73"/>
        <v>-</v>
      </c>
      <c r="I466" s="254" t="str">
        <f t="shared" si="73"/>
        <v>-</v>
      </c>
      <c r="J466" s="254" t="str">
        <f t="shared" si="73"/>
        <v>-</v>
      </c>
      <c r="K466" s="254" t="str">
        <f t="shared" si="73"/>
        <v>-</v>
      </c>
      <c r="L466" s="254" t="str">
        <f t="shared" si="73"/>
        <v>-</v>
      </c>
      <c r="M466" s="254" t="str">
        <f t="shared" si="73"/>
        <v>-</v>
      </c>
      <c r="N466" s="255"/>
    </row>
    <row r="467" spans="1:14" s="244" customFormat="1" ht="15" collapsed="1">
      <c r="A467" s="237"/>
      <c r="B467" s="238" t="s">
        <v>269</v>
      </c>
      <c r="C467" s="237"/>
      <c r="D467" s="239">
        <v>1</v>
      </c>
      <c r="E467" s="240"/>
      <c r="F467" s="241"/>
      <c r="G467" s="242">
        <f t="shared" ref="G467:M467" si="74">SUBTOTAL(9,G468:G524)</f>
        <v>1070.8</v>
      </c>
      <c r="H467" s="242">
        <f t="shared" si="74"/>
        <v>334.99999999999994</v>
      </c>
      <c r="I467" s="242">
        <f t="shared" si="74"/>
        <v>211.24</v>
      </c>
      <c r="J467" s="242">
        <f t="shared" si="74"/>
        <v>8.64</v>
      </c>
      <c r="K467" s="242">
        <f t="shared" si="74"/>
        <v>38</v>
      </c>
      <c r="L467" s="242">
        <f t="shared" si="74"/>
        <v>40</v>
      </c>
      <c r="M467" s="242">
        <f t="shared" si="74"/>
        <v>4</v>
      </c>
      <c r="N467" s="243"/>
    </row>
    <row r="468" spans="1:14" s="256" customFormat="1" hidden="1" outlineLevel="1">
      <c r="A468" s="260"/>
      <c r="B468" s="261" t="s">
        <v>270</v>
      </c>
      <c r="C468" s="260"/>
      <c r="D468" s="262">
        <v>1</v>
      </c>
      <c r="E468" s="263"/>
      <c r="F468" s="263"/>
      <c r="G468" s="264">
        <f t="shared" ref="G468:M468" si="75">SUM(G328,G346,G365,G366,G367)</f>
        <v>129.10000000000002</v>
      </c>
      <c r="H468" s="264">
        <f t="shared" si="75"/>
        <v>43.4</v>
      </c>
      <c r="I468" s="264">
        <f t="shared" si="75"/>
        <v>38.82</v>
      </c>
      <c r="J468" s="264">
        <f t="shared" si="75"/>
        <v>1.44</v>
      </c>
      <c r="K468" s="264">
        <f t="shared" si="75"/>
        <v>5</v>
      </c>
      <c r="L468" s="264">
        <f t="shared" si="75"/>
        <v>5</v>
      </c>
      <c r="M468" s="264">
        <f t="shared" si="75"/>
        <v>1</v>
      </c>
      <c r="N468" s="265" t="s">
        <v>271</v>
      </c>
    </row>
    <row r="469" spans="1:14" s="256" customFormat="1" hidden="1" outlineLevel="1">
      <c r="A469" s="260"/>
      <c r="B469" s="261" t="s">
        <v>256</v>
      </c>
      <c r="C469" s="260"/>
      <c r="D469" s="262" t="s">
        <v>217</v>
      </c>
      <c r="E469" s="263"/>
      <c r="F469" s="263"/>
      <c r="G469" s="264">
        <f t="shared" ref="G469:M470" si="76">SUM(G$115,G$136,G$150)</f>
        <v>81.900000000000006</v>
      </c>
      <c r="H469" s="264">
        <f t="shared" si="76"/>
        <v>27.2</v>
      </c>
      <c r="I469" s="264">
        <f t="shared" si="76"/>
        <v>16.86</v>
      </c>
      <c r="J469" s="264">
        <f t="shared" si="76"/>
        <v>1.08</v>
      </c>
      <c r="K469" s="264">
        <f t="shared" si="76"/>
        <v>4</v>
      </c>
      <c r="L469" s="264">
        <f t="shared" si="76"/>
        <v>4</v>
      </c>
      <c r="M469" s="264">
        <f t="shared" si="76"/>
        <v>0</v>
      </c>
      <c r="N469" s="265" t="s">
        <v>257</v>
      </c>
    </row>
    <row r="470" spans="1:14" s="256" customFormat="1" hidden="1" outlineLevel="1">
      <c r="A470" s="260"/>
      <c r="B470" s="261" t="s">
        <v>216</v>
      </c>
      <c r="C470" s="260"/>
      <c r="D470" s="262" t="s">
        <v>217</v>
      </c>
      <c r="E470" s="263"/>
      <c r="F470" s="263"/>
      <c r="G470" s="264">
        <f t="shared" si="76"/>
        <v>81.900000000000006</v>
      </c>
      <c r="H470" s="264">
        <f t="shared" si="76"/>
        <v>27.2</v>
      </c>
      <c r="I470" s="264">
        <f t="shared" si="76"/>
        <v>16.86</v>
      </c>
      <c r="J470" s="264">
        <f t="shared" si="76"/>
        <v>1.08</v>
      </c>
      <c r="K470" s="264">
        <f t="shared" si="76"/>
        <v>4</v>
      </c>
      <c r="L470" s="264">
        <f t="shared" si="76"/>
        <v>4</v>
      </c>
      <c r="M470" s="264">
        <f t="shared" si="76"/>
        <v>0</v>
      </c>
      <c r="N470" s="265" t="s">
        <v>258</v>
      </c>
    </row>
    <row r="471" spans="1:14" s="251" customFormat="1" ht="15" hidden="1" outlineLevel="1" collapsed="1">
      <c r="A471" s="245"/>
      <c r="B471" s="246" t="s">
        <v>219</v>
      </c>
      <c r="C471" s="245"/>
      <c r="D471" s="247">
        <v>1</v>
      </c>
      <c r="E471" s="248"/>
      <c r="F471" s="248"/>
      <c r="G471" s="249">
        <f>SUBTOTAL(9,G472:G491)</f>
        <v>20.399999999999999</v>
      </c>
      <c r="H471" s="249">
        <f t="shared" ref="H471:M471" si="77">SUBTOTAL(9,H472:H491)</f>
        <v>5</v>
      </c>
      <c r="I471" s="249">
        <f t="shared" si="77"/>
        <v>4.34</v>
      </c>
      <c r="J471" s="249">
        <f t="shared" si="77"/>
        <v>0.36</v>
      </c>
      <c r="K471" s="249">
        <f t="shared" si="77"/>
        <v>1</v>
      </c>
      <c r="L471" s="249">
        <f t="shared" si="77"/>
        <v>1</v>
      </c>
      <c r="M471" s="249">
        <f t="shared" si="77"/>
        <v>0</v>
      </c>
      <c r="N471" s="250"/>
    </row>
    <row r="472" spans="1:14" s="256" customFormat="1" hidden="1" outlineLevel="2">
      <c r="A472" s="178"/>
      <c r="B472" s="252" t="s">
        <v>189</v>
      </c>
      <c r="C472" s="253" t="s">
        <v>169</v>
      </c>
      <c r="D472" s="173">
        <v>1</v>
      </c>
      <c r="E472" s="252">
        <v>20.399999999999999</v>
      </c>
      <c r="F472" s="252"/>
      <c r="G472" s="254">
        <f t="shared" ref="G472:M496" si="78">IF($C472=G$5,PRODUCT($D472:$F472),"-")</f>
        <v>20.399999999999999</v>
      </c>
      <c r="H472" s="254" t="str">
        <f t="shared" si="78"/>
        <v>-</v>
      </c>
      <c r="I472" s="254" t="str">
        <f t="shared" si="78"/>
        <v>-</v>
      </c>
      <c r="J472" s="254" t="str">
        <f t="shared" si="78"/>
        <v>-</v>
      </c>
      <c r="K472" s="254" t="str">
        <f t="shared" si="78"/>
        <v>-</v>
      </c>
      <c r="L472" s="254" t="str">
        <f t="shared" si="78"/>
        <v>-</v>
      </c>
      <c r="M472" s="254" t="str">
        <f t="shared" si="78"/>
        <v>-</v>
      </c>
      <c r="N472" s="255"/>
    </row>
    <row r="473" spans="1:14" s="256" customFormat="1" hidden="1" outlineLevel="2">
      <c r="A473" s="178"/>
      <c r="B473" s="252" t="s">
        <v>190</v>
      </c>
      <c r="C473" s="253" t="s">
        <v>170</v>
      </c>
      <c r="D473" s="173">
        <v>1</v>
      </c>
      <c r="E473" s="252">
        <v>19.8</v>
      </c>
      <c r="F473" s="252"/>
      <c r="G473" s="254" t="str">
        <f t="shared" si="78"/>
        <v>-</v>
      </c>
      <c r="H473" s="254" t="str">
        <f t="shared" si="78"/>
        <v>-</v>
      </c>
      <c r="I473" s="254" t="str">
        <f t="shared" si="78"/>
        <v>-</v>
      </c>
      <c r="J473" s="254" t="str">
        <f t="shared" si="78"/>
        <v>-</v>
      </c>
      <c r="K473" s="254" t="str">
        <f t="shared" si="78"/>
        <v>-</v>
      </c>
      <c r="L473" s="254" t="str">
        <f t="shared" si="78"/>
        <v>-</v>
      </c>
      <c r="M473" s="254" t="str">
        <f t="shared" si="78"/>
        <v>-</v>
      </c>
      <c r="N473" s="255"/>
    </row>
    <row r="474" spans="1:14" s="256" customFormat="1" hidden="1" outlineLevel="2">
      <c r="A474" s="178"/>
      <c r="B474" s="257" t="s">
        <v>191</v>
      </c>
      <c r="C474" s="253" t="s">
        <v>170</v>
      </c>
      <c r="D474" s="173">
        <v>-1</v>
      </c>
      <c r="E474" s="252">
        <f>1.2+0.8</f>
        <v>2</v>
      </c>
      <c r="F474" s="252"/>
      <c r="G474" s="254" t="str">
        <f t="shared" si="78"/>
        <v>-</v>
      </c>
      <c r="H474" s="254" t="str">
        <f t="shared" si="78"/>
        <v>-</v>
      </c>
      <c r="I474" s="254" t="str">
        <f t="shared" si="78"/>
        <v>-</v>
      </c>
      <c r="J474" s="254" t="str">
        <f t="shared" si="78"/>
        <v>-</v>
      </c>
      <c r="K474" s="254" t="str">
        <f t="shared" si="78"/>
        <v>-</v>
      </c>
      <c r="L474" s="254" t="str">
        <f t="shared" si="78"/>
        <v>-</v>
      </c>
      <c r="M474" s="254" t="str">
        <f t="shared" si="78"/>
        <v>-</v>
      </c>
      <c r="N474" s="255"/>
    </row>
    <row r="475" spans="1:14" s="256" customFormat="1" hidden="1" outlineLevel="2">
      <c r="A475" s="178"/>
      <c r="B475" s="257" t="s">
        <v>192</v>
      </c>
      <c r="C475" s="253" t="s">
        <v>170</v>
      </c>
      <c r="D475" s="173">
        <v>-1</v>
      </c>
      <c r="E475" s="252">
        <v>3.2</v>
      </c>
      <c r="F475" s="252"/>
      <c r="G475" s="254" t="str">
        <f t="shared" si="78"/>
        <v>-</v>
      </c>
      <c r="H475" s="254" t="str">
        <f t="shared" si="78"/>
        <v>-</v>
      </c>
      <c r="I475" s="254" t="str">
        <f t="shared" si="78"/>
        <v>-</v>
      </c>
      <c r="J475" s="254" t="str">
        <f t="shared" si="78"/>
        <v>-</v>
      </c>
      <c r="K475" s="254" t="str">
        <f t="shared" si="78"/>
        <v>-</v>
      </c>
      <c r="L475" s="254" t="str">
        <f t="shared" si="78"/>
        <v>-</v>
      </c>
      <c r="M475" s="254" t="str">
        <f t="shared" si="78"/>
        <v>-</v>
      </c>
      <c r="N475" s="255"/>
    </row>
    <row r="476" spans="1:14" s="256" customFormat="1" hidden="1" outlineLevel="2">
      <c r="A476" s="178"/>
      <c r="B476" s="252" t="s">
        <v>193</v>
      </c>
      <c r="C476" s="253" t="s">
        <v>171</v>
      </c>
      <c r="D476" s="173">
        <v>1</v>
      </c>
      <c r="E476" s="252">
        <v>5</v>
      </c>
      <c r="F476" s="252"/>
      <c r="G476" s="254" t="str">
        <f t="shared" si="78"/>
        <v>-</v>
      </c>
      <c r="H476" s="254">
        <f t="shared" si="78"/>
        <v>5</v>
      </c>
      <c r="I476" s="254" t="str">
        <f t="shared" si="78"/>
        <v>-</v>
      </c>
      <c r="J476" s="254" t="str">
        <f t="shared" si="78"/>
        <v>-</v>
      </c>
      <c r="K476" s="254" t="str">
        <f t="shared" si="78"/>
        <v>-</v>
      </c>
      <c r="L476" s="254" t="str">
        <f t="shared" si="78"/>
        <v>-</v>
      </c>
      <c r="M476" s="254" t="str">
        <f t="shared" si="78"/>
        <v>-</v>
      </c>
      <c r="N476" s="255"/>
    </row>
    <row r="477" spans="1:14" s="256" customFormat="1" hidden="1" outlineLevel="2">
      <c r="A477" s="178"/>
      <c r="B477" s="252" t="s">
        <v>194</v>
      </c>
      <c r="C477" s="253" t="s">
        <v>172</v>
      </c>
      <c r="D477" s="173">
        <v>1</v>
      </c>
      <c r="E477" s="252">
        <v>11</v>
      </c>
      <c r="F477" s="252"/>
      <c r="G477" s="254" t="str">
        <f t="shared" si="78"/>
        <v>-</v>
      </c>
      <c r="H477" s="254" t="str">
        <f t="shared" si="78"/>
        <v>-</v>
      </c>
      <c r="I477" s="254" t="str">
        <f t="shared" si="78"/>
        <v>-</v>
      </c>
      <c r="J477" s="254" t="str">
        <f t="shared" si="78"/>
        <v>-</v>
      </c>
      <c r="K477" s="254" t="str">
        <f t="shared" si="78"/>
        <v>-</v>
      </c>
      <c r="L477" s="254" t="str">
        <f t="shared" si="78"/>
        <v>-</v>
      </c>
      <c r="M477" s="254" t="str">
        <f t="shared" si="78"/>
        <v>-</v>
      </c>
      <c r="N477" s="255"/>
    </row>
    <row r="478" spans="1:14" s="256" customFormat="1" hidden="1" outlineLevel="2">
      <c r="A478" s="178"/>
      <c r="B478" s="257" t="s">
        <v>191</v>
      </c>
      <c r="C478" s="253" t="s">
        <v>172</v>
      </c>
      <c r="D478" s="173">
        <v>-2</v>
      </c>
      <c r="E478" s="252">
        <v>0.8</v>
      </c>
      <c r="F478" s="252"/>
      <c r="G478" s="254" t="str">
        <f t="shared" si="78"/>
        <v>-</v>
      </c>
      <c r="H478" s="254" t="str">
        <f t="shared" si="78"/>
        <v>-</v>
      </c>
      <c r="I478" s="254" t="str">
        <f t="shared" si="78"/>
        <v>-</v>
      </c>
      <c r="J478" s="254" t="str">
        <f t="shared" si="78"/>
        <v>-</v>
      </c>
      <c r="K478" s="254" t="str">
        <f t="shared" si="78"/>
        <v>-</v>
      </c>
      <c r="L478" s="254" t="str">
        <f t="shared" si="78"/>
        <v>-</v>
      </c>
      <c r="M478" s="254" t="str">
        <f t="shared" si="78"/>
        <v>-</v>
      </c>
      <c r="N478" s="255"/>
    </row>
    <row r="479" spans="1:14" s="256" customFormat="1" hidden="1" outlineLevel="2">
      <c r="A479" s="178"/>
      <c r="B479" s="257" t="s">
        <v>195</v>
      </c>
      <c r="C479" s="253" t="s">
        <v>172</v>
      </c>
      <c r="D479" s="173">
        <v>-1</v>
      </c>
      <c r="E479" s="252">
        <v>2.5</v>
      </c>
      <c r="F479" s="252"/>
      <c r="G479" s="254" t="str">
        <f t="shared" si="78"/>
        <v>-</v>
      </c>
      <c r="H479" s="254" t="str">
        <f t="shared" si="78"/>
        <v>-</v>
      </c>
      <c r="I479" s="254" t="str">
        <f t="shared" si="78"/>
        <v>-</v>
      </c>
      <c r="J479" s="254" t="str">
        <f t="shared" si="78"/>
        <v>-</v>
      </c>
      <c r="K479" s="254" t="str">
        <f t="shared" si="78"/>
        <v>-</v>
      </c>
      <c r="L479" s="254" t="str">
        <f t="shared" si="78"/>
        <v>-</v>
      </c>
      <c r="M479" s="254" t="str">
        <f t="shared" si="78"/>
        <v>-</v>
      </c>
      <c r="N479" s="255"/>
    </row>
    <row r="480" spans="1:14" s="256" customFormat="1" hidden="1" outlineLevel="2">
      <c r="A480" s="178"/>
      <c r="B480" s="252" t="s">
        <v>196</v>
      </c>
      <c r="C480" s="253" t="s">
        <v>173</v>
      </c>
      <c r="D480" s="173">
        <v>1</v>
      </c>
      <c r="E480" s="252">
        <f>4.7-0.18*2</f>
        <v>4.34</v>
      </c>
      <c r="F480" s="252"/>
      <c r="G480" s="254" t="str">
        <f t="shared" si="78"/>
        <v>-</v>
      </c>
      <c r="H480" s="254" t="str">
        <f t="shared" si="78"/>
        <v>-</v>
      </c>
      <c r="I480" s="254">
        <f t="shared" si="78"/>
        <v>4.34</v>
      </c>
      <c r="J480" s="254" t="str">
        <f t="shared" si="78"/>
        <v>-</v>
      </c>
      <c r="K480" s="254" t="str">
        <f t="shared" si="78"/>
        <v>-</v>
      </c>
      <c r="L480" s="254" t="str">
        <f t="shared" si="78"/>
        <v>-</v>
      </c>
      <c r="M480" s="254" t="str">
        <f t="shared" si="78"/>
        <v>-</v>
      </c>
      <c r="N480" s="255"/>
    </row>
    <row r="481" spans="1:14" s="256" customFormat="1" hidden="1" outlineLevel="2">
      <c r="A481" s="178"/>
      <c r="B481" s="252" t="s">
        <v>197</v>
      </c>
      <c r="C481" s="253" t="s">
        <v>175</v>
      </c>
      <c r="D481" s="173">
        <v>1</v>
      </c>
      <c r="E481" s="252">
        <f>0.3*0.6*2</f>
        <v>0.36</v>
      </c>
      <c r="F481" s="252"/>
      <c r="G481" s="254" t="str">
        <f t="shared" si="78"/>
        <v>-</v>
      </c>
      <c r="H481" s="254" t="str">
        <f t="shared" si="78"/>
        <v>-</v>
      </c>
      <c r="I481" s="254" t="str">
        <f t="shared" si="78"/>
        <v>-</v>
      </c>
      <c r="J481" s="254">
        <f t="shared" si="78"/>
        <v>0.36</v>
      </c>
      <c r="K481" s="254" t="str">
        <f t="shared" si="78"/>
        <v>-</v>
      </c>
      <c r="L481" s="254" t="str">
        <f t="shared" si="78"/>
        <v>-</v>
      </c>
      <c r="M481" s="254" t="str">
        <f t="shared" si="78"/>
        <v>-</v>
      </c>
      <c r="N481" s="255"/>
    </row>
    <row r="482" spans="1:14" s="256" customFormat="1" hidden="1" outlineLevel="2">
      <c r="A482" s="178"/>
      <c r="B482" s="252" t="s">
        <v>198</v>
      </c>
      <c r="C482" s="253" t="s">
        <v>174</v>
      </c>
      <c r="D482" s="173">
        <v>1</v>
      </c>
      <c r="E482" s="252">
        <v>12.4</v>
      </c>
      <c r="F482" s="252">
        <v>2.2999999999999998</v>
      </c>
      <c r="G482" s="254" t="str">
        <f t="shared" si="78"/>
        <v>-</v>
      </c>
      <c r="H482" s="254" t="str">
        <f t="shared" si="78"/>
        <v>-</v>
      </c>
      <c r="I482" s="254" t="str">
        <f t="shared" si="78"/>
        <v>-</v>
      </c>
      <c r="J482" s="254" t="str">
        <f t="shared" si="78"/>
        <v>-</v>
      </c>
      <c r="K482" s="254" t="str">
        <f t="shared" si="78"/>
        <v>-</v>
      </c>
      <c r="L482" s="254" t="str">
        <f t="shared" si="78"/>
        <v>-</v>
      </c>
      <c r="M482" s="254" t="str">
        <f t="shared" si="78"/>
        <v>-</v>
      </c>
      <c r="N482" s="255"/>
    </row>
    <row r="483" spans="1:14" s="256" customFormat="1" hidden="1" outlineLevel="2">
      <c r="A483" s="178"/>
      <c r="B483" s="257" t="s">
        <v>212</v>
      </c>
      <c r="C483" s="253" t="s">
        <v>174</v>
      </c>
      <c r="D483" s="173">
        <v>-1</v>
      </c>
      <c r="E483" s="252">
        <v>0.8</v>
      </c>
      <c r="F483" s="252">
        <v>2.2200000000000002</v>
      </c>
      <c r="G483" s="254" t="str">
        <f t="shared" si="78"/>
        <v>-</v>
      </c>
      <c r="H483" s="254" t="str">
        <f t="shared" si="78"/>
        <v>-</v>
      </c>
      <c r="I483" s="254" t="str">
        <f t="shared" si="78"/>
        <v>-</v>
      </c>
      <c r="J483" s="254" t="str">
        <f t="shared" si="78"/>
        <v>-</v>
      </c>
      <c r="K483" s="254" t="str">
        <f t="shared" si="78"/>
        <v>-</v>
      </c>
      <c r="L483" s="254" t="str">
        <f t="shared" si="78"/>
        <v>-</v>
      </c>
      <c r="M483" s="254" t="str">
        <f t="shared" si="78"/>
        <v>-</v>
      </c>
      <c r="N483" s="255"/>
    </row>
    <row r="484" spans="1:14" s="256" customFormat="1" hidden="1" outlineLevel="2">
      <c r="A484" s="178"/>
      <c r="B484" s="257" t="s">
        <v>199</v>
      </c>
      <c r="C484" s="253" t="s">
        <v>174</v>
      </c>
      <c r="D484" s="173">
        <v>-1</v>
      </c>
      <c r="E484" s="252">
        <v>1.8</v>
      </c>
      <c r="F484" s="252">
        <v>1.75</v>
      </c>
      <c r="G484" s="254" t="str">
        <f t="shared" si="78"/>
        <v>-</v>
      </c>
      <c r="H484" s="254" t="str">
        <f t="shared" si="78"/>
        <v>-</v>
      </c>
      <c r="I484" s="254" t="str">
        <f t="shared" si="78"/>
        <v>-</v>
      </c>
      <c r="J484" s="254" t="str">
        <f t="shared" si="78"/>
        <v>-</v>
      </c>
      <c r="K484" s="254" t="str">
        <f t="shared" si="78"/>
        <v>-</v>
      </c>
      <c r="L484" s="254" t="str">
        <f t="shared" si="78"/>
        <v>-</v>
      </c>
      <c r="M484" s="254" t="str">
        <f t="shared" si="78"/>
        <v>-</v>
      </c>
      <c r="N484" s="255"/>
    </row>
    <row r="485" spans="1:14" s="256" customFormat="1" hidden="1" outlineLevel="2">
      <c r="A485" s="178"/>
      <c r="B485" s="257" t="s">
        <v>200</v>
      </c>
      <c r="C485" s="253" t="s">
        <v>174</v>
      </c>
      <c r="D485" s="173">
        <v>-2</v>
      </c>
      <c r="E485" s="252">
        <v>0.85</v>
      </c>
      <c r="F485" s="252">
        <v>0.55000000000000004</v>
      </c>
      <c r="G485" s="254" t="str">
        <f t="shared" si="78"/>
        <v>-</v>
      </c>
      <c r="H485" s="254" t="str">
        <f t="shared" si="78"/>
        <v>-</v>
      </c>
      <c r="I485" s="254" t="str">
        <f t="shared" si="78"/>
        <v>-</v>
      </c>
      <c r="J485" s="254" t="str">
        <f t="shared" si="78"/>
        <v>-</v>
      </c>
      <c r="K485" s="254" t="str">
        <f t="shared" si="78"/>
        <v>-</v>
      </c>
      <c r="L485" s="254" t="str">
        <f t="shared" si="78"/>
        <v>-</v>
      </c>
      <c r="M485" s="254" t="str">
        <f t="shared" si="78"/>
        <v>-</v>
      </c>
      <c r="N485" s="255"/>
    </row>
    <row r="486" spans="1:14" s="256" customFormat="1" hidden="1" outlineLevel="2">
      <c r="A486" s="178"/>
      <c r="B486" s="258" t="s">
        <v>201</v>
      </c>
      <c r="C486" s="253" t="s">
        <v>174</v>
      </c>
      <c r="D486" s="173">
        <v>1</v>
      </c>
      <c r="E486" s="252">
        <v>2.15</v>
      </c>
      <c r="F486" s="252">
        <v>0.25</v>
      </c>
      <c r="G486" s="254" t="str">
        <f t="shared" si="78"/>
        <v>-</v>
      </c>
      <c r="H486" s="254" t="str">
        <f t="shared" si="78"/>
        <v>-</v>
      </c>
      <c r="I486" s="254" t="str">
        <f t="shared" si="78"/>
        <v>-</v>
      </c>
      <c r="J486" s="254" t="str">
        <f t="shared" si="78"/>
        <v>-</v>
      </c>
      <c r="K486" s="254" t="str">
        <f t="shared" si="78"/>
        <v>-</v>
      </c>
      <c r="L486" s="254" t="str">
        <f t="shared" si="78"/>
        <v>-</v>
      </c>
      <c r="M486" s="254" t="str">
        <f t="shared" si="78"/>
        <v>-</v>
      </c>
      <c r="N486" s="255"/>
    </row>
    <row r="487" spans="1:14" s="256" customFormat="1" hidden="1" outlineLevel="2">
      <c r="A487" s="178"/>
      <c r="B487" s="252" t="s">
        <v>202</v>
      </c>
      <c r="C487" s="253" t="s">
        <v>176</v>
      </c>
      <c r="D487" s="173">
        <v>1</v>
      </c>
      <c r="E487" s="252">
        <v>2.15</v>
      </c>
      <c r="F487" s="252">
        <v>0.9</v>
      </c>
      <c r="G487" s="254" t="str">
        <f t="shared" si="78"/>
        <v>-</v>
      </c>
      <c r="H487" s="254" t="str">
        <f t="shared" si="78"/>
        <v>-</v>
      </c>
      <c r="I487" s="254" t="str">
        <f t="shared" si="78"/>
        <v>-</v>
      </c>
      <c r="J487" s="254" t="str">
        <f t="shared" si="78"/>
        <v>-</v>
      </c>
      <c r="K487" s="254" t="str">
        <f t="shared" si="78"/>
        <v>-</v>
      </c>
      <c r="L487" s="254" t="str">
        <f t="shared" si="78"/>
        <v>-</v>
      </c>
      <c r="M487" s="254" t="str">
        <f t="shared" si="78"/>
        <v>-</v>
      </c>
      <c r="N487" s="255"/>
    </row>
    <row r="488" spans="1:14" s="256" customFormat="1" hidden="1" outlineLevel="2">
      <c r="A488" s="178"/>
      <c r="B488" s="257" t="s">
        <v>203</v>
      </c>
      <c r="C488" s="253" t="s">
        <v>176</v>
      </c>
      <c r="D488" s="173">
        <v>-1</v>
      </c>
      <c r="E488" s="252">
        <v>1.65</v>
      </c>
      <c r="F488" s="252">
        <v>0.7</v>
      </c>
      <c r="G488" s="254" t="str">
        <f t="shared" si="78"/>
        <v>-</v>
      </c>
      <c r="H488" s="254" t="str">
        <f t="shared" si="78"/>
        <v>-</v>
      </c>
      <c r="I488" s="254" t="str">
        <f t="shared" si="78"/>
        <v>-</v>
      </c>
      <c r="J488" s="254" t="str">
        <f t="shared" si="78"/>
        <v>-</v>
      </c>
      <c r="K488" s="254" t="str">
        <f t="shared" si="78"/>
        <v>-</v>
      </c>
      <c r="L488" s="254" t="str">
        <f t="shared" si="78"/>
        <v>-</v>
      </c>
      <c r="M488" s="254" t="str">
        <f t="shared" si="78"/>
        <v>-</v>
      </c>
      <c r="N488" s="255"/>
    </row>
    <row r="489" spans="1:14" s="256" customFormat="1" hidden="1" outlineLevel="2">
      <c r="A489" s="178"/>
      <c r="B489" s="252" t="s">
        <v>204</v>
      </c>
      <c r="C489" s="253" t="s">
        <v>177</v>
      </c>
      <c r="D489" s="173">
        <v>1</v>
      </c>
      <c r="E489" s="252"/>
      <c r="F489" s="252"/>
      <c r="G489" s="254" t="str">
        <f t="shared" si="78"/>
        <v>-</v>
      </c>
      <c r="H489" s="254" t="str">
        <f t="shared" si="78"/>
        <v>-</v>
      </c>
      <c r="I489" s="254" t="str">
        <f t="shared" si="78"/>
        <v>-</v>
      </c>
      <c r="J489" s="254" t="str">
        <f t="shared" si="78"/>
        <v>-</v>
      </c>
      <c r="K489" s="254">
        <f t="shared" si="78"/>
        <v>1</v>
      </c>
      <c r="L489" s="254" t="str">
        <f t="shared" si="78"/>
        <v>-</v>
      </c>
      <c r="M489" s="254" t="str">
        <f t="shared" si="78"/>
        <v>-</v>
      </c>
      <c r="N489" s="255"/>
    </row>
    <row r="490" spans="1:14" s="256" customFormat="1" hidden="1" outlineLevel="2">
      <c r="A490" s="178"/>
      <c r="B490" s="252" t="s">
        <v>205</v>
      </c>
      <c r="C490" s="253" t="s">
        <v>178</v>
      </c>
      <c r="D490" s="173">
        <v>1</v>
      </c>
      <c r="E490" s="252"/>
      <c r="F490" s="252"/>
      <c r="G490" s="254" t="str">
        <f t="shared" si="78"/>
        <v>-</v>
      </c>
      <c r="H490" s="254" t="str">
        <f t="shared" si="78"/>
        <v>-</v>
      </c>
      <c r="I490" s="254" t="str">
        <f t="shared" si="78"/>
        <v>-</v>
      </c>
      <c r="J490" s="254" t="str">
        <f t="shared" si="78"/>
        <v>-</v>
      </c>
      <c r="K490" s="254" t="str">
        <f t="shared" si="78"/>
        <v>-</v>
      </c>
      <c r="L490" s="254">
        <f t="shared" si="78"/>
        <v>1</v>
      </c>
      <c r="M490" s="254" t="str">
        <f t="shared" si="78"/>
        <v>-</v>
      </c>
      <c r="N490" s="255"/>
    </row>
    <row r="491" spans="1:14" s="256" customFormat="1" hidden="1" outlineLevel="2">
      <c r="A491" s="259"/>
      <c r="B491" s="252"/>
      <c r="C491" s="253"/>
      <c r="D491" s="173"/>
      <c r="E491" s="252"/>
      <c r="F491" s="252"/>
      <c r="G491" s="254" t="str">
        <f t="shared" si="78"/>
        <v>-</v>
      </c>
      <c r="H491" s="254" t="str">
        <f t="shared" si="78"/>
        <v>-</v>
      </c>
      <c r="I491" s="254" t="str">
        <f t="shared" si="78"/>
        <v>-</v>
      </c>
      <c r="J491" s="254" t="str">
        <f t="shared" si="78"/>
        <v>-</v>
      </c>
      <c r="K491" s="254" t="str">
        <f t="shared" si="78"/>
        <v>-</v>
      </c>
      <c r="L491" s="254" t="str">
        <f t="shared" si="78"/>
        <v>-</v>
      </c>
      <c r="M491" s="254" t="str">
        <f t="shared" si="78"/>
        <v>-</v>
      </c>
      <c r="N491" s="255"/>
    </row>
    <row r="492" spans="1:14" s="251" customFormat="1" ht="15" hidden="1" outlineLevel="1" collapsed="1">
      <c r="A492" s="245"/>
      <c r="B492" s="246" t="s">
        <v>220</v>
      </c>
      <c r="C492" s="245"/>
      <c r="D492" s="247">
        <v>1</v>
      </c>
      <c r="E492" s="248"/>
      <c r="F492" s="248"/>
      <c r="G492" s="249">
        <f>SUBTOTAL(9,G493:G514)</f>
        <v>28.8</v>
      </c>
      <c r="H492" s="249">
        <f t="shared" ref="H492:M492" si="79">SUBTOTAL(9,H493:H514)</f>
        <v>48.3</v>
      </c>
      <c r="I492" s="249">
        <f t="shared" si="79"/>
        <v>13.34</v>
      </c>
      <c r="J492" s="249">
        <f t="shared" si="79"/>
        <v>0.36</v>
      </c>
      <c r="K492" s="249">
        <f t="shared" si="79"/>
        <v>1</v>
      </c>
      <c r="L492" s="249">
        <f t="shared" si="79"/>
        <v>3</v>
      </c>
      <c r="M492" s="249">
        <f t="shared" si="79"/>
        <v>1</v>
      </c>
      <c r="N492" s="250"/>
    </row>
    <row r="493" spans="1:14" s="256" customFormat="1" hidden="1" outlineLevel="2">
      <c r="A493" s="178"/>
      <c r="B493" s="252" t="s">
        <v>189</v>
      </c>
      <c r="C493" s="253" t="s">
        <v>169</v>
      </c>
      <c r="D493" s="173">
        <v>1</v>
      </c>
      <c r="E493" s="252">
        <v>28.8</v>
      </c>
      <c r="F493" s="252"/>
      <c r="G493" s="254">
        <f t="shared" si="78"/>
        <v>28.8</v>
      </c>
      <c r="H493" s="254" t="str">
        <f t="shared" si="78"/>
        <v>-</v>
      </c>
      <c r="I493" s="254" t="str">
        <f t="shared" si="78"/>
        <v>-</v>
      </c>
      <c r="J493" s="254" t="str">
        <f t="shared" si="78"/>
        <v>-</v>
      </c>
      <c r="K493" s="254" t="str">
        <f t="shared" si="78"/>
        <v>-</v>
      </c>
      <c r="L493" s="254" t="str">
        <f t="shared" si="78"/>
        <v>-</v>
      </c>
      <c r="M493" s="254" t="str">
        <f t="shared" si="78"/>
        <v>-</v>
      </c>
      <c r="N493" s="255"/>
    </row>
    <row r="494" spans="1:14" s="256" customFormat="1" hidden="1" outlineLevel="2">
      <c r="A494" s="178"/>
      <c r="B494" s="252" t="s">
        <v>190</v>
      </c>
      <c r="C494" s="253" t="s">
        <v>170</v>
      </c>
      <c r="D494" s="173">
        <v>1</v>
      </c>
      <c r="E494" s="252">
        <v>29.6</v>
      </c>
      <c r="F494" s="252"/>
      <c r="G494" s="254" t="str">
        <f t="shared" si="78"/>
        <v>-</v>
      </c>
      <c r="H494" s="254" t="str">
        <f t="shared" si="78"/>
        <v>-</v>
      </c>
      <c r="I494" s="254" t="str">
        <f t="shared" si="78"/>
        <v>-</v>
      </c>
      <c r="J494" s="254" t="str">
        <f t="shared" si="78"/>
        <v>-</v>
      </c>
      <c r="K494" s="254" t="str">
        <f t="shared" si="78"/>
        <v>-</v>
      </c>
      <c r="L494" s="254" t="str">
        <f t="shared" si="78"/>
        <v>-</v>
      </c>
      <c r="M494" s="254" t="str">
        <f t="shared" si="78"/>
        <v>-</v>
      </c>
      <c r="N494" s="255"/>
    </row>
    <row r="495" spans="1:14" s="256" customFormat="1" hidden="1" outlineLevel="2">
      <c r="A495" s="178"/>
      <c r="B495" s="257" t="s">
        <v>191</v>
      </c>
      <c r="C495" s="253" t="s">
        <v>170</v>
      </c>
      <c r="D495" s="173">
        <v>-3</v>
      </c>
      <c r="E495" s="252">
        <v>0.8</v>
      </c>
      <c r="F495" s="252"/>
      <c r="G495" s="254" t="str">
        <f t="shared" si="78"/>
        <v>-</v>
      </c>
      <c r="H495" s="254" t="str">
        <f t="shared" si="78"/>
        <v>-</v>
      </c>
      <c r="I495" s="254" t="str">
        <f t="shared" si="78"/>
        <v>-</v>
      </c>
      <c r="J495" s="254" t="str">
        <f t="shared" si="78"/>
        <v>-</v>
      </c>
      <c r="K495" s="254" t="str">
        <f t="shared" si="78"/>
        <v>-</v>
      </c>
      <c r="L495" s="254" t="str">
        <f t="shared" si="78"/>
        <v>-</v>
      </c>
      <c r="M495" s="254" t="str">
        <f t="shared" si="78"/>
        <v>-</v>
      </c>
      <c r="N495" s="255"/>
    </row>
    <row r="496" spans="1:14" s="256" customFormat="1" hidden="1" outlineLevel="2">
      <c r="A496" s="178"/>
      <c r="B496" s="257" t="s">
        <v>195</v>
      </c>
      <c r="C496" s="253" t="s">
        <v>170</v>
      </c>
      <c r="D496" s="173">
        <v>-1</v>
      </c>
      <c r="E496" s="252">
        <v>1.4</v>
      </c>
      <c r="F496" s="252"/>
      <c r="G496" s="254" t="str">
        <f t="shared" si="78"/>
        <v>-</v>
      </c>
      <c r="H496" s="254" t="str">
        <f t="shared" ref="G496:M511" si="80">IF($C496=H$5,PRODUCT($D496:$F496),"-")</f>
        <v>-</v>
      </c>
      <c r="I496" s="254" t="str">
        <f t="shared" si="80"/>
        <v>-</v>
      </c>
      <c r="J496" s="254" t="str">
        <f t="shared" si="80"/>
        <v>-</v>
      </c>
      <c r="K496" s="254" t="str">
        <f t="shared" si="80"/>
        <v>-</v>
      </c>
      <c r="L496" s="254" t="str">
        <f t="shared" si="80"/>
        <v>-</v>
      </c>
      <c r="M496" s="254" t="str">
        <f t="shared" si="80"/>
        <v>-</v>
      </c>
      <c r="N496" s="255"/>
    </row>
    <row r="497" spans="1:14" s="256" customFormat="1" hidden="1" outlineLevel="2">
      <c r="A497" s="178"/>
      <c r="B497" s="257" t="s">
        <v>192</v>
      </c>
      <c r="C497" s="253" t="s">
        <v>170</v>
      </c>
      <c r="D497" s="173">
        <v>-1</v>
      </c>
      <c r="E497" s="252">
        <v>2.8</v>
      </c>
      <c r="F497" s="252"/>
      <c r="G497" s="254" t="str">
        <f t="shared" si="80"/>
        <v>-</v>
      </c>
      <c r="H497" s="254" t="str">
        <f t="shared" si="80"/>
        <v>-</v>
      </c>
      <c r="I497" s="254" t="str">
        <f t="shared" si="80"/>
        <v>-</v>
      </c>
      <c r="J497" s="254" t="str">
        <f t="shared" si="80"/>
        <v>-</v>
      </c>
      <c r="K497" s="254" t="str">
        <f t="shared" si="80"/>
        <v>-</v>
      </c>
      <c r="L497" s="254" t="str">
        <f t="shared" si="80"/>
        <v>-</v>
      </c>
      <c r="M497" s="254" t="str">
        <f t="shared" si="80"/>
        <v>-</v>
      </c>
      <c r="N497" s="255"/>
    </row>
    <row r="498" spans="1:14" s="256" customFormat="1" hidden="1" outlineLevel="2">
      <c r="A498" s="178"/>
      <c r="B498" s="252" t="s">
        <v>193</v>
      </c>
      <c r="C498" s="253" t="s">
        <v>171</v>
      </c>
      <c r="D498" s="173">
        <v>1</v>
      </c>
      <c r="E498" s="252">
        <f>45.3+3</f>
        <v>48.3</v>
      </c>
      <c r="F498" s="252"/>
      <c r="G498" s="254" t="str">
        <f t="shared" si="80"/>
        <v>-</v>
      </c>
      <c r="H498" s="254">
        <f t="shared" si="80"/>
        <v>48.3</v>
      </c>
      <c r="I498" s="254" t="str">
        <f t="shared" si="80"/>
        <v>-</v>
      </c>
      <c r="J498" s="254" t="str">
        <f t="shared" si="80"/>
        <v>-</v>
      </c>
      <c r="K498" s="254" t="str">
        <f t="shared" si="80"/>
        <v>-</v>
      </c>
      <c r="L498" s="254" t="str">
        <f t="shared" si="80"/>
        <v>-</v>
      </c>
      <c r="M498" s="254" t="str">
        <f t="shared" si="80"/>
        <v>-</v>
      </c>
      <c r="N498" s="255"/>
    </row>
    <row r="499" spans="1:14" s="256" customFormat="1" hidden="1" outlineLevel="2">
      <c r="A499" s="178"/>
      <c r="B499" s="252" t="s">
        <v>194</v>
      </c>
      <c r="C499" s="253" t="s">
        <v>172</v>
      </c>
      <c r="D499" s="173">
        <v>1</v>
      </c>
      <c r="E499" s="252">
        <f>40.3</f>
        <v>40.299999999999997</v>
      </c>
      <c r="F499" s="252"/>
      <c r="G499" s="254" t="str">
        <f t="shared" si="80"/>
        <v>-</v>
      </c>
      <c r="H499" s="254" t="str">
        <f t="shared" si="80"/>
        <v>-</v>
      </c>
      <c r="I499" s="254" t="str">
        <f t="shared" si="80"/>
        <v>-</v>
      </c>
      <c r="J499" s="254" t="str">
        <f t="shared" si="80"/>
        <v>-</v>
      </c>
      <c r="K499" s="254" t="str">
        <f t="shared" si="80"/>
        <v>-</v>
      </c>
      <c r="L499" s="254" t="str">
        <f t="shared" si="80"/>
        <v>-</v>
      </c>
      <c r="M499" s="254" t="str">
        <f t="shared" si="80"/>
        <v>-</v>
      </c>
      <c r="N499" s="255"/>
    </row>
    <row r="500" spans="1:14" s="256" customFormat="1" hidden="1" outlineLevel="2">
      <c r="A500" s="178"/>
      <c r="B500" s="257" t="s">
        <v>212</v>
      </c>
      <c r="C500" s="253" t="s">
        <v>172</v>
      </c>
      <c r="D500" s="173">
        <v>-4</v>
      </c>
      <c r="E500" s="252">
        <v>0.8</v>
      </c>
      <c r="F500" s="252"/>
      <c r="G500" s="254" t="str">
        <f t="shared" si="80"/>
        <v>-</v>
      </c>
      <c r="H500" s="254" t="str">
        <f t="shared" si="80"/>
        <v>-</v>
      </c>
      <c r="I500" s="254" t="str">
        <f t="shared" si="80"/>
        <v>-</v>
      </c>
      <c r="J500" s="254" t="str">
        <f t="shared" si="80"/>
        <v>-</v>
      </c>
      <c r="K500" s="254" t="str">
        <f t="shared" si="80"/>
        <v>-</v>
      </c>
      <c r="L500" s="254" t="str">
        <f t="shared" si="80"/>
        <v>-</v>
      </c>
      <c r="M500" s="254" t="str">
        <f t="shared" si="80"/>
        <v>-</v>
      </c>
      <c r="N500" s="255"/>
    </row>
    <row r="501" spans="1:14" s="256" customFormat="1" hidden="1" outlineLevel="2">
      <c r="A501" s="178"/>
      <c r="B501" s="257" t="s">
        <v>212</v>
      </c>
      <c r="C501" s="253" t="s">
        <v>172</v>
      </c>
      <c r="D501" s="173">
        <v>-1</v>
      </c>
      <c r="E501" s="252">
        <v>1.25</v>
      </c>
      <c r="F501" s="252"/>
      <c r="G501" s="254" t="str">
        <f t="shared" si="80"/>
        <v>-</v>
      </c>
      <c r="H501" s="254" t="str">
        <f t="shared" si="80"/>
        <v>-</v>
      </c>
      <c r="I501" s="254" t="str">
        <f t="shared" si="80"/>
        <v>-</v>
      </c>
      <c r="J501" s="254" t="str">
        <f t="shared" si="80"/>
        <v>-</v>
      </c>
      <c r="K501" s="254" t="str">
        <f t="shared" si="80"/>
        <v>-</v>
      </c>
      <c r="L501" s="254" t="str">
        <f t="shared" si="80"/>
        <v>-</v>
      </c>
      <c r="M501" s="254" t="str">
        <f t="shared" si="80"/>
        <v>-</v>
      </c>
      <c r="N501" s="255"/>
    </row>
    <row r="502" spans="1:14" s="256" customFormat="1" hidden="1" outlineLevel="2">
      <c r="A502" s="178"/>
      <c r="B502" s="252" t="s">
        <v>196</v>
      </c>
      <c r="C502" s="253" t="s">
        <v>173</v>
      </c>
      <c r="D502" s="173">
        <v>1</v>
      </c>
      <c r="E502" s="252">
        <f>10.7+3-E503</f>
        <v>13.34</v>
      </c>
      <c r="F502" s="252"/>
      <c r="G502" s="254" t="str">
        <f t="shared" si="80"/>
        <v>-</v>
      </c>
      <c r="H502" s="254" t="str">
        <f t="shared" si="80"/>
        <v>-</v>
      </c>
      <c r="I502" s="254">
        <f t="shared" si="80"/>
        <v>13.34</v>
      </c>
      <c r="J502" s="254" t="str">
        <f t="shared" si="80"/>
        <v>-</v>
      </c>
      <c r="K502" s="254" t="str">
        <f t="shared" si="80"/>
        <v>-</v>
      </c>
      <c r="L502" s="254" t="str">
        <f t="shared" si="80"/>
        <v>-</v>
      </c>
      <c r="M502" s="254" t="str">
        <f t="shared" si="80"/>
        <v>-</v>
      </c>
      <c r="N502" s="255"/>
    </row>
    <row r="503" spans="1:14" s="256" customFormat="1" hidden="1" outlineLevel="2">
      <c r="A503" s="178"/>
      <c r="B503" s="252" t="s">
        <v>197</v>
      </c>
      <c r="C503" s="253" t="s">
        <v>175</v>
      </c>
      <c r="D503" s="173">
        <v>1</v>
      </c>
      <c r="E503" s="252">
        <f>0.3*0.6*2</f>
        <v>0.36</v>
      </c>
      <c r="F503" s="252"/>
      <c r="G503" s="254" t="str">
        <f t="shared" si="80"/>
        <v>-</v>
      </c>
      <c r="H503" s="254" t="str">
        <f t="shared" si="80"/>
        <v>-</v>
      </c>
      <c r="I503" s="254" t="str">
        <f t="shared" si="80"/>
        <v>-</v>
      </c>
      <c r="J503" s="254">
        <f t="shared" si="80"/>
        <v>0.36</v>
      </c>
      <c r="K503" s="254" t="str">
        <f t="shared" si="80"/>
        <v>-</v>
      </c>
      <c r="L503" s="254" t="str">
        <f t="shared" si="80"/>
        <v>-</v>
      </c>
      <c r="M503" s="254" t="str">
        <f t="shared" si="80"/>
        <v>-</v>
      </c>
      <c r="N503" s="255"/>
    </row>
    <row r="504" spans="1:14" s="256" customFormat="1" hidden="1" outlineLevel="2">
      <c r="A504" s="178"/>
      <c r="B504" s="252" t="s">
        <v>198</v>
      </c>
      <c r="C504" s="253" t="s">
        <v>174</v>
      </c>
      <c r="D504" s="173">
        <v>1</v>
      </c>
      <c r="E504" s="252">
        <v>20.2</v>
      </c>
      <c r="F504" s="252">
        <v>2.2999999999999998</v>
      </c>
      <c r="G504" s="254" t="str">
        <f t="shared" si="80"/>
        <v>-</v>
      </c>
      <c r="H504" s="254" t="str">
        <f t="shared" si="80"/>
        <v>-</v>
      </c>
      <c r="I504" s="254" t="str">
        <f t="shared" si="80"/>
        <v>-</v>
      </c>
      <c r="J504" s="254" t="str">
        <f t="shared" si="80"/>
        <v>-</v>
      </c>
      <c r="K504" s="254" t="str">
        <f t="shared" si="80"/>
        <v>-</v>
      </c>
      <c r="L504" s="254" t="str">
        <f t="shared" si="80"/>
        <v>-</v>
      </c>
      <c r="M504" s="254" t="str">
        <f t="shared" si="80"/>
        <v>-</v>
      </c>
      <c r="N504" s="255"/>
    </row>
    <row r="505" spans="1:14" s="256" customFormat="1" hidden="1" outlineLevel="2">
      <c r="A505" s="178"/>
      <c r="B505" s="257" t="s">
        <v>212</v>
      </c>
      <c r="C505" s="253" t="s">
        <v>174</v>
      </c>
      <c r="D505" s="173">
        <v>-1</v>
      </c>
      <c r="E505" s="252">
        <v>0.8</v>
      </c>
      <c r="F505" s="252">
        <v>2.2200000000000002</v>
      </c>
      <c r="G505" s="254" t="str">
        <f t="shared" si="80"/>
        <v>-</v>
      </c>
      <c r="H505" s="254" t="str">
        <f t="shared" si="80"/>
        <v>-</v>
      </c>
      <c r="I505" s="254" t="str">
        <f t="shared" si="80"/>
        <v>-</v>
      </c>
      <c r="J505" s="254" t="str">
        <f t="shared" si="80"/>
        <v>-</v>
      </c>
      <c r="K505" s="254" t="str">
        <f t="shared" si="80"/>
        <v>-</v>
      </c>
      <c r="L505" s="254" t="str">
        <f t="shared" si="80"/>
        <v>-</v>
      </c>
      <c r="M505" s="254" t="str">
        <f t="shared" si="80"/>
        <v>-</v>
      </c>
      <c r="N505" s="255"/>
    </row>
    <row r="506" spans="1:14" s="256" customFormat="1" hidden="1" outlineLevel="2">
      <c r="A506" s="178"/>
      <c r="B506" s="257" t="s">
        <v>199</v>
      </c>
      <c r="C506" s="253" t="s">
        <v>174</v>
      </c>
      <c r="D506" s="173">
        <v>-1</v>
      </c>
      <c r="E506" s="252">
        <f>1.4+0.95</f>
        <v>2.3499999999999996</v>
      </c>
      <c r="F506" s="252">
        <v>1.45</v>
      </c>
      <c r="G506" s="254" t="str">
        <f t="shared" si="80"/>
        <v>-</v>
      </c>
      <c r="H506" s="254" t="str">
        <f t="shared" si="80"/>
        <v>-</v>
      </c>
      <c r="I506" s="254" t="str">
        <f t="shared" si="80"/>
        <v>-</v>
      </c>
      <c r="J506" s="254" t="str">
        <f t="shared" si="80"/>
        <v>-</v>
      </c>
      <c r="K506" s="254" t="str">
        <f t="shared" si="80"/>
        <v>-</v>
      </c>
      <c r="L506" s="254" t="str">
        <f t="shared" si="80"/>
        <v>-</v>
      </c>
      <c r="M506" s="254" t="str">
        <f t="shared" si="80"/>
        <v>-</v>
      </c>
      <c r="N506" s="255"/>
    </row>
    <row r="507" spans="1:14" s="256" customFormat="1" hidden="1" outlineLevel="2">
      <c r="A507" s="178"/>
      <c r="B507" s="257" t="s">
        <v>200</v>
      </c>
      <c r="C507" s="253" t="s">
        <v>174</v>
      </c>
      <c r="D507" s="173">
        <v>-1</v>
      </c>
      <c r="E507" s="252">
        <f>5.7-2</f>
        <v>3.7</v>
      </c>
      <c r="F507" s="252">
        <v>0.55000000000000004</v>
      </c>
      <c r="G507" s="254" t="str">
        <f t="shared" si="80"/>
        <v>-</v>
      </c>
      <c r="H507" s="254" t="str">
        <f t="shared" si="80"/>
        <v>-</v>
      </c>
      <c r="I507" s="254" t="str">
        <f t="shared" si="80"/>
        <v>-</v>
      </c>
      <c r="J507" s="254" t="str">
        <f t="shared" si="80"/>
        <v>-</v>
      </c>
      <c r="K507" s="254" t="str">
        <f t="shared" si="80"/>
        <v>-</v>
      </c>
      <c r="L507" s="254" t="str">
        <f t="shared" si="80"/>
        <v>-</v>
      </c>
      <c r="M507" s="254" t="str">
        <f t="shared" si="80"/>
        <v>-</v>
      </c>
      <c r="N507" s="255"/>
    </row>
    <row r="508" spans="1:14" s="256" customFormat="1" hidden="1" outlineLevel="2">
      <c r="A508" s="178"/>
      <c r="B508" s="258" t="s">
        <v>201</v>
      </c>
      <c r="C508" s="253" t="s">
        <v>174</v>
      </c>
      <c r="D508" s="173">
        <v>1</v>
      </c>
      <c r="E508" s="252">
        <f>1.35*2+2.5+0.5-0.95</f>
        <v>4.75</v>
      </c>
      <c r="F508" s="252">
        <v>0.25</v>
      </c>
      <c r="G508" s="254" t="str">
        <f t="shared" si="80"/>
        <v>-</v>
      </c>
      <c r="H508" s="254" t="str">
        <f t="shared" si="80"/>
        <v>-</v>
      </c>
      <c r="I508" s="254" t="str">
        <f t="shared" si="80"/>
        <v>-</v>
      </c>
      <c r="J508" s="254" t="str">
        <f t="shared" si="80"/>
        <v>-</v>
      </c>
      <c r="K508" s="254" t="str">
        <f t="shared" si="80"/>
        <v>-</v>
      </c>
      <c r="L508" s="254" t="str">
        <f t="shared" si="80"/>
        <v>-</v>
      </c>
      <c r="M508" s="254" t="str">
        <f t="shared" si="80"/>
        <v>-</v>
      </c>
      <c r="N508" s="255"/>
    </row>
    <row r="509" spans="1:14" s="256" customFormat="1" hidden="1" outlineLevel="2">
      <c r="A509" s="178"/>
      <c r="B509" s="252" t="s">
        <v>202</v>
      </c>
      <c r="C509" s="253" t="s">
        <v>176</v>
      </c>
      <c r="D509" s="173">
        <v>1</v>
      </c>
      <c r="E509" s="252">
        <v>2.5</v>
      </c>
      <c r="F509" s="252">
        <v>1.35</v>
      </c>
      <c r="G509" s="254" t="str">
        <f t="shared" si="80"/>
        <v>-</v>
      </c>
      <c r="H509" s="254" t="str">
        <f t="shared" si="80"/>
        <v>-</v>
      </c>
      <c r="I509" s="254" t="str">
        <f t="shared" si="80"/>
        <v>-</v>
      </c>
      <c r="J509" s="254" t="str">
        <f t="shared" si="80"/>
        <v>-</v>
      </c>
      <c r="K509" s="254" t="str">
        <f t="shared" si="80"/>
        <v>-</v>
      </c>
      <c r="L509" s="254" t="str">
        <f t="shared" si="80"/>
        <v>-</v>
      </c>
      <c r="M509" s="254" t="str">
        <f t="shared" si="80"/>
        <v>-</v>
      </c>
      <c r="N509" s="255"/>
    </row>
    <row r="510" spans="1:14" s="256" customFormat="1" hidden="1" outlineLevel="2">
      <c r="A510" s="178"/>
      <c r="B510" s="257" t="s">
        <v>203</v>
      </c>
      <c r="C510" s="253" t="s">
        <v>176</v>
      </c>
      <c r="D510" s="173">
        <v>-1</v>
      </c>
      <c r="E510" s="252">
        <v>1.9</v>
      </c>
      <c r="F510" s="252">
        <v>1.1000000000000001</v>
      </c>
      <c r="G510" s="254" t="str">
        <f t="shared" si="80"/>
        <v>-</v>
      </c>
      <c r="H510" s="254" t="str">
        <f t="shared" si="80"/>
        <v>-</v>
      </c>
      <c r="I510" s="254" t="str">
        <f t="shared" si="80"/>
        <v>-</v>
      </c>
      <c r="J510" s="254" t="str">
        <f t="shared" si="80"/>
        <v>-</v>
      </c>
      <c r="K510" s="254" t="str">
        <f t="shared" si="80"/>
        <v>-</v>
      </c>
      <c r="L510" s="254" t="str">
        <f t="shared" si="80"/>
        <v>-</v>
      </c>
      <c r="M510" s="254" t="str">
        <f t="shared" si="80"/>
        <v>-</v>
      </c>
      <c r="N510" s="255"/>
    </row>
    <row r="511" spans="1:14" s="256" customFormat="1" hidden="1" outlineLevel="2">
      <c r="A511" s="178"/>
      <c r="B511" s="252" t="s">
        <v>204</v>
      </c>
      <c r="C511" s="253" t="s">
        <v>177</v>
      </c>
      <c r="D511" s="173">
        <v>1</v>
      </c>
      <c r="E511" s="252"/>
      <c r="F511" s="252"/>
      <c r="G511" s="254" t="str">
        <f t="shared" si="80"/>
        <v>-</v>
      </c>
      <c r="H511" s="254" t="str">
        <f t="shared" si="80"/>
        <v>-</v>
      </c>
      <c r="I511" s="254" t="str">
        <f t="shared" si="80"/>
        <v>-</v>
      </c>
      <c r="J511" s="254" t="str">
        <f t="shared" si="80"/>
        <v>-</v>
      </c>
      <c r="K511" s="254">
        <f t="shared" si="80"/>
        <v>1</v>
      </c>
      <c r="L511" s="254" t="str">
        <f t="shared" si="80"/>
        <v>-</v>
      </c>
      <c r="M511" s="254" t="str">
        <f t="shared" si="80"/>
        <v>-</v>
      </c>
      <c r="N511" s="255"/>
    </row>
    <row r="512" spans="1:14" s="256" customFormat="1" hidden="1" outlineLevel="2">
      <c r="A512" s="178"/>
      <c r="B512" s="252" t="s">
        <v>208</v>
      </c>
      <c r="C512" s="253" t="s">
        <v>179</v>
      </c>
      <c r="D512" s="173">
        <v>1</v>
      </c>
      <c r="E512" s="252"/>
      <c r="F512" s="252"/>
      <c r="G512" s="254" t="str">
        <f t="shared" ref="G512:M514" si="81">IF($C512=G$5,PRODUCT($D512:$F512),"-")</f>
        <v>-</v>
      </c>
      <c r="H512" s="254" t="str">
        <f t="shared" si="81"/>
        <v>-</v>
      </c>
      <c r="I512" s="254" t="str">
        <f t="shared" si="81"/>
        <v>-</v>
      </c>
      <c r="J512" s="254" t="str">
        <f t="shared" si="81"/>
        <v>-</v>
      </c>
      <c r="K512" s="254" t="str">
        <f t="shared" si="81"/>
        <v>-</v>
      </c>
      <c r="L512" s="254" t="str">
        <f t="shared" si="81"/>
        <v>-</v>
      </c>
      <c r="M512" s="254">
        <f t="shared" si="81"/>
        <v>1</v>
      </c>
      <c r="N512" s="255"/>
    </row>
    <row r="513" spans="1:14" s="256" customFormat="1" hidden="1" outlineLevel="2">
      <c r="A513" s="178"/>
      <c r="B513" s="252" t="s">
        <v>205</v>
      </c>
      <c r="C513" s="253" t="s">
        <v>178</v>
      </c>
      <c r="D513" s="173">
        <v>3</v>
      </c>
      <c r="E513" s="252"/>
      <c r="F513" s="252"/>
      <c r="G513" s="254" t="str">
        <f t="shared" si="81"/>
        <v>-</v>
      </c>
      <c r="H513" s="254" t="str">
        <f t="shared" si="81"/>
        <v>-</v>
      </c>
      <c r="I513" s="254" t="str">
        <f t="shared" si="81"/>
        <v>-</v>
      </c>
      <c r="J513" s="254" t="str">
        <f t="shared" si="81"/>
        <v>-</v>
      </c>
      <c r="K513" s="254" t="str">
        <f t="shared" si="81"/>
        <v>-</v>
      </c>
      <c r="L513" s="254">
        <f t="shared" si="81"/>
        <v>3</v>
      </c>
      <c r="M513" s="254" t="str">
        <f t="shared" si="81"/>
        <v>-</v>
      </c>
      <c r="N513" s="255"/>
    </row>
    <row r="514" spans="1:14" s="256" customFormat="1" hidden="1" outlineLevel="2">
      <c r="A514" s="259"/>
      <c r="B514" s="252"/>
      <c r="C514" s="253"/>
      <c r="D514" s="173"/>
      <c r="E514" s="252"/>
      <c r="F514" s="252"/>
      <c r="G514" s="254" t="str">
        <f t="shared" si="81"/>
        <v>-</v>
      </c>
      <c r="H514" s="254" t="str">
        <f t="shared" si="81"/>
        <v>-</v>
      </c>
      <c r="I514" s="254" t="str">
        <f t="shared" si="81"/>
        <v>-</v>
      </c>
      <c r="J514" s="254" t="str">
        <f t="shared" si="81"/>
        <v>-</v>
      </c>
      <c r="K514" s="254" t="str">
        <f t="shared" si="81"/>
        <v>-</v>
      </c>
      <c r="L514" s="254" t="str">
        <f t="shared" si="81"/>
        <v>-</v>
      </c>
      <c r="M514" s="254" t="str">
        <f t="shared" si="81"/>
        <v>-</v>
      </c>
      <c r="N514" s="255"/>
    </row>
    <row r="515" spans="1:14" s="256" customFormat="1" hidden="1" outlineLevel="1">
      <c r="A515" s="260"/>
      <c r="B515" s="261" t="s">
        <v>272</v>
      </c>
      <c r="C515" s="260"/>
      <c r="D515" s="262">
        <v>1</v>
      </c>
      <c r="E515" s="263"/>
      <c r="F515" s="263"/>
      <c r="G515" s="264">
        <f t="shared" ref="G515:M515" si="82">SUM(G217,G238,G258)</f>
        <v>106.69999999999999</v>
      </c>
      <c r="H515" s="264">
        <f t="shared" si="82"/>
        <v>16.399999999999999</v>
      </c>
      <c r="I515" s="264">
        <f t="shared" si="82"/>
        <v>15.399999999999999</v>
      </c>
      <c r="J515" s="264">
        <f t="shared" si="82"/>
        <v>0</v>
      </c>
      <c r="K515" s="264">
        <f t="shared" si="82"/>
        <v>4</v>
      </c>
      <c r="L515" s="264">
        <f t="shared" si="82"/>
        <v>3</v>
      </c>
      <c r="M515" s="264">
        <f t="shared" si="82"/>
        <v>0</v>
      </c>
      <c r="N515" s="265" t="s">
        <v>273</v>
      </c>
    </row>
    <row r="516" spans="1:14" s="256" customFormat="1" hidden="1" outlineLevel="1">
      <c r="A516" s="260"/>
      <c r="B516" s="261" t="s">
        <v>226</v>
      </c>
      <c r="C516" s="260"/>
      <c r="D516" s="262">
        <v>1</v>
      </c>
      <c r="E516" s="263"/>
      <c r="F516" s="263"/>
      <c r="G516" s="264">
        <f>G515</f>
        <v>106.69999999999999</v>
      </c>
      <c r="H516" s="264">
        <f t="shared" ref="H516:M516" si="83">H515</f>
        <v>16.399999999999999</v>
      </c>
      <c r="I516" s="264">
        <f t="shared" si="83"/>
        <v>15.399999999999999</v>
      </c>
      <c r="J516" s="264">
        <f t="shared" si="83"/>
        <v>0</v>
      </c>
      <c r="K516" s="264">
        <f t="shared" si="83"/>
        <v>4</v>
      </c>
      <c r="L516" s="264">
        <f t="shared" si="83"/>
        <v>3</v>
      </c>
      <c r="M516" s="264">
        <f t="shared" si="83"/>
        <v>0</v>
      </c>
      <c r="N516" s="265" t="s">
        <v>274</v>
      </c>
    </row>
    <row r="517" spans="1:14" s="256" customFormat="1" hidden="1" outlineLevel="1">
      <c r="A517" s="260"/>
      <c r="B517" s="261" t="s">
        <v>228</v>
      </c>
      <c r="C517" s="260"/>
      <c r="D517" s="262">
        <v>1</v>
      </c>
      <c r="E517" s="263"/>
      <c r="F517" s="263"/>
      <c r="G517" s="264">
        <f>SUM(G471,G492)</f>
        <v>49.2</v>
      </c>
      <c r="H517" s="264">
        <f t="shared" ref="H517:M517" si="84">SUM(H471,H492)</f>
        <v>53.3</v>
      </c>
      <c r="I517" s="264">
        <f t="shared" si="84"/>
        <v>17.68</v>
      </c>
      <c r="J517" s="264">
        <f t="shared" si="84"/>
        <v>0.72</v>
      </c>
      <c r="K517" s="264">
        <f t="shared" si="84"/>
        <v>2</v>
      </c>
      <c r="L517" s="264">
        <f t="shared" si="84"/>
        <v>4</v>
      </c>
      <c r="M517" s="264">
        <f t="shared" si="84"/>
        <v>1</v>
      </c>
      <c r="N517" s="265" t="s">
        <v>275</v>
      </c>
    </row>
    <row r="518" spans="1:14" s="256" customFormat="1" hidden="1" outlineLevel="1">
      <c r="A518" s="260"/>
      <c r="B518" s="261" t="s">
        <v>276</v>
      </c>
      <c r="C518" s="260"/>
      <c r="D518" s="262">
        <v>1</v>
      </c>
      <c r="E518" s="263"/>
      <c r="F518" s="263"/>
      <c r="G518" s="264">
        <f>SUM(G469,G470)</f>
        <v>163.80000000000001</v>
      </c>
      <c r="H518" s="264">
        <f t="shared" ref="H518:M518" si="85">SUM(H469,H470)</f>
        <v>54.4</v>
      </c>
      <c r="I518" s="264">
        <f t="shared" si="85"/>
        <v>33.72</v>
      </c>
      <c r="J518" s="264">
        <f t="shared" si="85"/>
        <v>2.16</v>
      </c>
      <c r="K518" s="264">
        <f t="shared" si="85"/>
        <v>8</v>
      </c>
      <c r="L518" s="264">
        <f t="shared" si="85"/>
        <v>8</v>
      </c>
      <c r="M518" s="264">
        <f t="shared" si="85"/>
        <v>0</v>
      </c>
      <c r="N518" s="265" t="s">
        <v>277</v>
      </c>
    </row>
    <row r="519" spans="1:14" s="256" customFormat="1" hidden="1" outlineLevel="1">
      <c r="A519" s="260"/>
      <c r="B519" s="261" t="s">
        <v>278</v>
      </c>
      <c r="C519" s="260"/>
      <c r="D519" s="262">
        <v>1</v>
      </c>
      <c r="E519" s="263"/>
      <c r="F519" s="263"/>
      <c r="G519" s="264">
        <f>G468</f>
        <v>129.10000000000002</v>
      </c>
      <c r="H519" s="264">
        <f t="shared" ref="H519:M519" si="86">H468</f>
        <v>43.4</v>
      </c>
      <c r="I519" s="264">
        <f t="shared" si="86"/>
        <v>38.82</v>
      </c>
      <c r="J519" s="264">
        <f t="shared" si="86"/>
        <v>1.44</v>
      </c>
      <c r="K519" s="264">
        <f t="shared" si="86"/>
        <v>5</v>
      </c>
      <c r="L519" s="264">
        <f t="shared" si="86"/>
        <v>5</v>
      </c>
      <c r="M519" s="264">
        <f t="shared" si="86"/>
        <v>1</v>
      </c>
      <c r="N519" s="265" t="s">
        <v>279</v>
      </c>
    </row>
    <row r="520" spans="1:14" s="251" customFormat="1" ht="15" hidden="1" outlineLevel="1" collapsed="1">
      <c r="A520" s="245"/>
      <c r="B520" s="246" t="s">
        <v>245</v>
      </c>
      <c r="C520" s="245"/>
      <c r="D520" s="247">
        <v>1</v>
      </c>
      <c r="E520" s="248"/>
      <c r="F520" s="248"/>
      <c r="G520" s="249">
        <f t="shared" ref="G520:M520" si="87">SUBTOTAL(9,G521:G524)</f>
        <v>173.2</v>
      </c>
      <c r="H520" s="249">
        <f t="shared" si="87"/>
        <v>0</v>
      </c>
      <c r="I520" s="249">
        <f t="shared" si="87"/>
        <v>0</v>
      </c>
      <c r="J520" s="249">
        <f t="shared" si="87"/>
        <v>0</v>
      </c>
      <c r="K520" s="249">
        <f t="shared" si="87"/>
        <v>0</v>
      </c>
      <c r="L520" s="249">
        <f t="shared" si="87"/>
        <v>0</v>
      </c>
      <c r="M520" s="249">
        <f t="shared" si="87"/>
        <v>0</v>
      </c>
      <c r="N520" s="250"/>
    </row>
    <row r="521" spans="1:14" s="256" customFormat="1" hidden="1" outlineLevel="2">
      <c r="A521" s="178"/>
      <c r="B521" s="252" t="s">
        <v>189</v>
      </c>
      <c r="C521" s="253" t="s">
        <v>169</v>
      </c>
      <c r="D521" s="173">
        <v>1</v>
      </c>
      <c r="E521" s="252">
        <v>173.2</v>
      </c>
      <c r="F521" s="252"/>
      <c r="G521" s="254">
        <f t="shared" ref="G521:M524" si="88">IF($C521=G$5,PRODUCT($D521:$F521),"-")</f>
        <v>173.2</v>
      </c>
      <c r="H521" s="254" t="str">
        <f t="shared" si="88"/>
        <v>-</v>
      </c>
      <c r="I521" s="254" t="str">
        <f t="shared" si="88"/>
        <v>-</v>
      </c>
      <c r="J521" s="254" t="str">
        <f t="shared" si="88"/>
        <v>-</v>
      </c>
      <c r="K521" s="254" t="str">
        <f t="shared" si="88"/>
        <v>-</v>
      </c>
      <c r="L521" s="254" t="str">
        <f t="shared" si="88"/>
        <v>-</v>
      </c>
      <c r="M521" s="254" t="str">
        <f t="shared" si="88"/>
        <v>-</v>
      </c>
      <c r="N521" s="255"/>
    </row>
    <row r="522" spans="1:14" s="256" customFormat="1" hidden="1" outlineLevel="2">
      <c r="A522" s="178"/>
      <c r="B522" s="252" t="s">
        <v>190</v>
      </c>
      <c r="C522" s="253" t="s">
        <v>170</v>
      </c>
      <c r="D522" s="173">
        <v>1</v>
      </c>
      <c r="E522" s="252">
        <v>209</v>
      </c>
      <c r="F522" s="252"/>
      <c r="G522" s="254" t="str">
        <f t="shared" si="88"/>
        <v>-</v>
      </c>
      <c r="H522" s="254" t="str">
        <f t="shared" si="88"/>
        <v>-</v>
      </c>
      <c r="I522" s="254" t="str">
        <f t="shared" si="88"/>
        <v>-</v>
      </c>
      <c r="J522" s="254" t="str">
        <f t="shared" si="88"/>
        <v>-</v>
      </c>
      <c r="K522" s="254" t="str">
        <f t="shared" si="88"/>
        <v>-</v>
      </c>
      <c r="L522" s="254" t="str">
        <f t="shared" si="88"/>
        <v>-</v>
      </c>
      <c r="M522" s="254" t="str">
        <f t="shared" si="88"/>
        <v>-</v>
      </c>
      <c r="N522" s="255"/>
    </row>
    <row r="523" spans="1:14" s="256" customFormat="1" hidden="1" outlineLevel="2">
      <c r="A523" s="178"/>
      <c r="B523" s="266" t="s">
        <v>247</v>
      </c>
      <c r="C523" s="253" t="s">
        <v>170</v>
      </c>
      <c r="D523" s="173">
        <v>-2</v>
      </c>
      <c r="E523" s="252">
        <f>8.7+1*2+0.8*12+1.25*2</f>
        <v>22.8</v>
      </c>
      <c r="F523" s="252"/>
      <c r="G523" s="254" t="str">
        <f t="shared" si="88"/>
        <v>-</v>
      </c>
      <c r="H523" s="254" t="str">
        <f t="shared" si="88"/>
        <v>-</v>
      </c>
      <c r="I523" s="254" t="str">
        <f t="shared" si="88"/>
        <v>-</v>
      </c>
      <c r="J523" s="254" t="str">
        <f t="shared" si="88"/>
        <v>-</v>
      </c>
      <c r="K523" s="254" t="str">
        <f t="shared" si="88"/>
        <v>-</v>
      </c>
      <c r="L523" s="254" t="str">
        <f t="shared" si="88"/>
        <v>-</v>
      </c>
      <c r="M523" s="254" t="str">
        <f t="shared" si="88"/>
        <v>-</v>
      </c>
      <c r="N523" s="255"/>
    </row>
    <row r="524" spans="1:14" s="256" customFormat="1" hidden="1" outlineLevel="2">
      <c r="A524" s="259"/>
      <c r="B524" s="252"/>
      <c r="C524" s="253"/>
      <c r="D524" s="173"/>
      <c r="E524" s="252"/>
      <c r="F524" s="252"/>
      <c r="G524" s="254" t="str">
        <f t="shared" si="88"/>
        <v>-</v>
      </c>
      <c r="H524" s="254" t="str">
        <f t="shared" si="88"/>
        <v>-</v>
      </c>
      <c r="I524" s="254" t="str">
        <f t="shared" si="88"/>
        <v>-</v>
      </c>
      <c r="J524" s="254" t="str">
        <f t="shared" si="88"/>
        <v>-</v>
      </c>
      <c r="K524" s="254" t="str">
        <f t="shared" si="88"/>
        <v>-</v>
      </c>
      <c r="L524" s="254" t="str">
        <f t="shared" si="88"/>
        <v>-</v>
      </c>
      <c r="M524" s="254" t="str">
        <f t="shared" si="88"/>
        <v>-</v>
      </c>
      <c r="N524" s="255"/>
    </row>
    <row r="525" spans="1:14" s="244" customFormat="1" ht="15" collapsed="1">
      <c r="A525" s="237"/>
      <c r="B525" s="238" t="s">
        <v>280</v>
      </c>
      <c r="C525" s="237"/>
      <c r="D525" s="239">
        <v>1</v>
      </c>
      <c r="E525" s="240"/>
      <c r="F525" s="241"/>
      <c r="G525" s="242">
        <f t="shared" ref="G525:M525" si="89">SUBTOTAL(9,G526:G667)</f>
        <v>971.6</v>
      </c>
      <c r="H525" s="242">
        <f t="shared" si="89"/>
        <v>329.99999999999994</v>
      </c>
      <c r="I525" s="242">
        <f t="shared" si="89"/>
        <v>237.79999999999995</v>
      </c>
      <c r="J525" s="242">
        <f t="shared" si="89"/>
        <v>11.160000000000002</v>
      </c>
      <c r="K525" s="242">
        <f t="shared" si="89"/>
        <v>31</v>
      </c>
      <c r="L525" s="242">
        <f t="shared" si="89"/>
        <v>31</v>
      </c>
      <c r="M525" s="242">
        <f t="shared" si="89"/>
        <v>3</v>
      </c>
      <c r="N525" s="243"/>
    </row>
    <row r="526" spans="1:14" s="256" customFormat="1" hidden="1" outlineLevel="1">
      <c r="A526" s="260"/>
      <c r="B526" s="261" t="s">
        <v>270</v>
      </c>
      <c r="C526" s="260"/>
      <c r="D526" s="262">
        <v>1</v>
      </c>
      <c r="E526" s="263"/>
      <c r="F526" s="263"/>
      <c r="G526" s="264">
        <f t="shared" ref="G526:M526" si="90">SUM(G328,G346,G365,G366,G367)</f>
        <v>129.10000000000002</v>
      </c>
      <c r="H526" s="264">
        <f t="shared" si="90"/>
        <v>43.4</v>
      </c>
      <c r="I526" s="264">
        <f t="shared" si="90"/>
        <v>38.82</v>
      </c>
      <c r="J526" s="264">
        <f t="shared" si="90"/>
        <v>1.44</v>
      </c>
      <c r="K526" s="264">
        <f t="shared" si="90"/>
        <v>5</v>
      </c>
      <c r="L526" s="264">
        <f t="shared" si="90"/>
        <v>5</v>
      </c>
      <c r="M526" s="264">
        <f t="shared" si="90"/>
        <v>1</v>
      </c>
      <c r="N526" s="265" t="s">
        <v>271</v>
      </c>
    </row>
    <row r="527" spans="1:14" s="256" customFormat="1" hidden="1" outlineLevel="1">
      <c r="A527" s="260"/>
      <c r="B527" s="261" t="s">
        <v>256</v>
      </c>
      <c r="C527" s="260"/>
      <c r="D527" s="262" t="s">
        <v>217</v>
      </c>
      <c r="E527" s="263"/>
      <c r="F527" s="263"/>
      <c r="G527" s="264">
        <f t="shared" ref="G527:M528" si="91">SUM(G$115,G$136,G$150)</f>
        <v>81.900000000000006</v>
      </c>
      <c r="H527" s="264">
        <f t="shared" si="91"/>
        <v>27.2</v>
      </c>
      <c r="I527" s="264">
        <f t="shared" si="91"/>
        <v>16.86</v>
      </c>
      <c r="J527" s="264">
        <f t="shared" si="91"/>
        <v>1.08</v>
      </c>
      <c r="K527" s="264">
        <f t="shared" si="91"/>
        <v>4</v>
      </c>
      <c r="L527" s="264">
        <f t="shared" si="91"/>
        <v>4</v>
      </c>
      <c r="M527" s="264">
        <f t="shared" si="91"/>
        <v>0</v>
      </c>
      <c r="N527" s="265" t="s">
        <v>257</v>
      </c>
    </row>
    <row r="528" spans="1:14" s="236" customFormat="1" ht="15" hidden="1" outlineLevel="1">
      <c r="A528" s="260"/>
      <c r="B528" s="261" t="s">
        <v>216</v>
      </c>
      <c r="C528" s="260"/>
      <c r="D528" s="262" t="s">
        <v>217</v>
      </c>
      <c r="E528" s="263"/>
      <c r="F528" s="263"/>
      <c r="G528" s="264">
        <f t="shared" si="91"/>
        <v>81.900000000000006</v>
      </c>
      <c r="H528" s="264">
        <f t="shared" si="91"/>
        <v>27.2</v>
      </c>
      <c r="I528" s="264">
        <f t="shared" si="91"/>
        <v>16.86</v>
      </c>
      <c r="J528" s="264">
        <f t="shared" si="91"/>
        <v>1.08</v>
      </c>
      <c r="K528" s="264">
        <f t="shared" si="91"/>
        <v>4</v>
      </c>
      <c r="L528" s="264">
        <f t="shared" si="91"/>
        <v>4</v>
      </c>
      <c r="M528" s="264">
        <f t="shared" si="91"/>
        <v>0</v>
      </c>
      <c r="N528" s="265" t="s">
        <v>258</v>
      </c>
    </row>
    <row r="529" spans="1:14" s="251" customFormat="1" ht="15" hidden="1" outlineLevel="1" collapsed="1">
      <c r="A529" s="245"/>
      <c r="B529" s="246" t="s">
        <v>219</v>
      </c>
      <c r="C529" s="245"/>
      <c r="D529" s="247">
        <v>1</v>
      </c>
      <c r="E529" s="248"/>
      <c r="F529" s="248"/>
      <c r="G529" s="249">
        <f>SUBTOTAL(9,G530:G549)</f>
        <v>20.399999999999999</v>
      </c>
      <c r="H529" s="249">
        <f t="shared" ref="H529:M529" si="92">SUBTOTAL(9,H530:H549)</f>
        <v>5</v>
      </c>
      <c r="I529" s="249">
        <f t="shared" si="92"/>
        <v>4.34</v>
      </c>
      <c r="J529" s="249">
        <f t="shared" si="92"/>
        <v>0.36</v>
      </c>
      <c r="K529" s="249">
        <f t="shared" si="92"/>
        <v>1</v>
      </c>
      <c r="L529" s="249">
        <f t="shared" si="92"/>
        <v>1</v>
      </c>
      <c r="M529" s="249">
        <f t="shared" si="92"/>
        <v>0</v>
      </c>
      <c r="N529" s="250"/>
    </row>
    <row r="530" spans="1:14" s="256" customFormat="1" hidden="1" outlineLevel="2">
      <c r="A530" s="178"/>
      <c r="B530" s="252" t="s">
        <v>189</v>
      </c>
      <c r="C530" s="253" t="s">
        <v>169</v>
      </c>
      <c r="D530" s="173">
        <v>1</v>
      </c>
      <c r="E530" s="252">
        <v>20.399999999999999</v>
      </c>
      <c r="F530" s="252"/>
      <c r="G530" s="254">
        <f t="shared" ref="G530:M554" si="93">IF($C530=G$5,PRODUCT($D530:$F530),"-")</f>
        <v>20.399999999999999</v>
      </c>
      <c r="H530" s="254" t="str">
        <f t="shared" si="93"/>
        <v>-</v>
      </c>
      <c r="I530" s="254" t="str">
        <f t="shared" si="93"/>
        <v>-</v>
      </c>
      <c r="J530" s="254" t="str">
        <f t="shared" si="93"/>
        <v>-</v>
      </c>
      <c r="K530" s="254" t="str">
        <f t="shared" si="93"/>
        <v>-</v>
      </c>
      <c r="L530" s="254" t="str">
        <f t="shared" si="93"/>
        <v>-</v>
      </c>
      <c r="M530" s="254" t="str">
        <f t="shared" si="93"/>
        <v>-</v>
      </c>
      <c r="N530" s="255"/>
    </row>
    <row r="531" spans="1:14" s="256" customFormat="1" hidden="1" outlineLevel="2">
      <c r="A531" s="178"/>
      <c r="B531" s="252" t="s">
        <v>190</v>
      </c>
      <c r="C531" s="253" t="s">
        <v>170</v>
      </c>
      <c r="D531" s="173">
        <v>1</v>
      </c>
      <c r="E531" s="252">
        <v>19.8</v>
      </c>
      <c r="F531" s="252"/>
      <c r="G531" s="254" t="str">
        <f t="shared" si="93"/>
        <v>-</v>
      </c>
      <c r="H531" s="254" t="str">
        <f t="shared" si="93"/>
        <v>-</v>
      </c>
      <c r="I531" s="254" t="str">
        <f t="shared" si="93"/>
        <v>-</v>
      </c>
      <c r="J531" s="254" t="str">
        <f t="shared" si="93"/>
        <v>-</v>
      </c>
      <c r="K531" s="254" t="str">
        <f t="shared" si="93"/>
        <v>-</v>
      </c>
      <c r="L531" s="254" t="str">
        <f t="shared" si="93"/>
        <v>-</v>
      </c>
      <c r="M531" s="254" t="str">
        <f t="shared" si="93"/>
        <v>-</v>
      </c>
      <c r="N531" s="255"/>
    </row>
    <row r="532" spans="1:14" s="256" customFormat="1" hidden="1" outlineLevel="2">
      <c r="A532" s="178"/>
      <c r="B532" s="257" t="s">
        <v>191</v>
      </c>
      <c r="C532" s="253" t="s">
        <v>170</v>
      </c>
      <c r="D532" s="173">
        <v>-1</v>
      </c>
      <c r="E532" s="252">
        <f>1.2+0.8</f>
        <v>2</v>
      </c>
      <c r="F532" s="252"/>
      <c r="G532" s="254" t="str">
        <f t="shared" si="93"/>
        <v>-</v>
      </c>
      <c r="H532" s="254" t="str">
        <f t="shared" si="93"/>
        <v>-</v>
      </c>
      <c r="I532" s="254" t="str">
        <f t="shared" si="93"/>
        <v>-</v>
      </c>
      <c r="J532" s="254" t="str">
        <f t="shared" si="93"/>
        <v>-</v>
      </c>
      <c r="K532" s="254" t="str">
        <f t="shared" si="93"/>
        <v>-</v>
      </c>
      <c r="L532" s="254" t="str">
        <f t="shared" si="93"/>
        <v>-</v>
      </c>
      <c r="M532" s="254" t="str">
        <f t="shared" si="93"/>
        <v>-</v>
      </c>
      <c r="N532" s="255"/>
    </row>
    <row r="533" spans="1:14" s="256" customFormat="1" hidden="1" outlineLevel="2">
      <c r="A533" s="178"/>
      <c r="B533" s="257" t="s">
        <v>192</v>
      </c>
      <c r="C533" s="253" t="s">
        <v>170</v>
      </c>
      <c r="D533" s="173">
        <v>-1</v>
      </c>
      <c r="E533" s="252">
        <v>3.2</v>
      </c>
      <c r="F533" s="252"/>
      <c r="G533" s="254" t="str">
        <f t="shared" si="93"/>
        <v>-</v>
      </c>
      <c r="H533" s="254" t="str">
        <f t="shared" si="93"/>
        <v>-</v>
      </c>
      <c r="I533" s="254" t="str">
        <f t="shared" si="93"/>
        <v>-</v>
      </c>
      <c r="J533" s="254" t="str">
        <f t="shared" si="93"/>
        <v>-</v>
      </c>
      <c r="K533" s="254" t="str">
        <f t="shared" si="93"/>
        <v>-</v>
      </c>
      <c r="L533" s="254" t="str">
        <f t="shared" si="93"/>
        <v>-</v>
      </c>
      <c r="M533" s="254" t="str">
        <f t="shared" si="93"/>
        <v>-</v>
      </c>
      <c r="N533" s="255"/>
    </row>
    <row r="534" spans="1:14" s="256" customFormat="1" hidden="1" outlineLevel="2">
      <c r="A534" s="178"/>
      <c r="B534" s="252" t="s">
        <v>193</v>
      </c>
      <c r="C534" s="253" t="s">
        <v>171</v>
      </c>
      <c r="D534" s="173">
        <v>1</v>
      </c>
      <c r="E534" s="252">
        <v>5</v>
      </c>
      <c r="F534" s="252"/>
      <c r="G534" s="254" t="str">
        <f t="shared" si="93"/>
        <v>-</v>
      </c>
      <c r="H534" s="254">
        <f t="shared" si="93"/>
        <v>5</v>
      </c>
      <c r="I534" s="254" t="str">
        <f t="shared" si="93"/>
        <v>-</v>
      </c>
      <c r="J534" s="254" t="str">
        <f t="shared" si="93"/>
        <v>-</v>
      </c>
      <c r="K534" s="254" t="str">
        <f t="shared" si="93"/>
        <v>-</v>
      </c>
      <c r="L534" s="254" t="str">
        <f t="shared" si="93"/>
        <v>-</v>
      </c>
      <c r="M534" s="254" t="str">
        <f t="shared" si="93"/>
        <v>-</v>
      </c>
      <c r="N534" s="255"/>
    </row>
    <row r="535" spans="1:14" s="256" customFormat="1" hidden="1" outlineLevel="2">
      <c r="A535" s="178"/>
      <c r="B535" s="252" t="s">
        <v>194</v>
      </c>
      <c r="C535" s="253" t="s">
        <v>172</v>
      </c>
      <c r="D535" s="173">
        <v>1</v>
      </c>
      <c r="E535" s="252">
        <v>11</v>
      </c>
      <c r="F535" s="252"/>
      <c r="G535" s="254" t="str">
        <f t="shared" si="93"/>
        <v>-</v>
      </c>
      <c r="H535" s="254" t="str">
        <f t="shared" si="93"/>
        <v>-</v>
      </c>
      <c r="I535" s="254" t="str">
        <f t="shared" si="93"/>
        <v>-</v>
      </c>
      <c r="J535" s="254" t="str">
        <f t="shared" si="93"/>
        <v>-</v>
      </c>
      <c r="K535" s="254" t="str">
        <f t="shared" si="93"/>
        <v>-</v>
      </c>
      <c r="L535" s="254" t="str">
        <f t="shared" si="93"/>
        <v>-</v>
      </c>
      <c r="M535" s="254" t="str">
        <f t="shared" si="93"/>
        <v>-</v>
      </c>
      <c r="N535" s="255"/>
    </row>
    <row r="536" spans="1:14" s="256" customFormat="1" hidden="1" outlineLevel="2">
      <c r="A536" s="178"/>
      <c r="B536" s="257" t="s">
        <v>191</v>
      </c>
      <c r="C536" s="253" t="s">
        <v>172</v>
      </c>
      <c r="D536" s="173">
        <v>-2</v>
      </c>
      <c r="E536" s="252">
        <v>0.8</v>
      </c>
      <c r="F536" s="252"/>
      <c r="G536" s="254" t="str">
        <f t="shared" si="93"/>
        <v>-</v>
      </c>
      <c r="H536" s="254" t="str">
        <f t="shared" si="93"/>
        <v>-</v>
      </c>
      <c r="I536" s="254" t="str">
        <f t="shared" si="93"/>
        <v>-</v>
      </c>
      <c r="J536" s="254" t="str">
        <f t="shared" si="93"/>
        <v>-</v>
      </c>
      <c r="K536" s="254" t="str">
        <f t="shared" si="93"/>
        <v>-</v>
      </c>
      <c r="L536" s="254" t="str">
        <f t="shared" si="93"/>
        <v>-</v>
      </c>
      <c r="M536" s="254" t="str">
        <f t="shared" si="93"/>
        <v>-</v>
      </c>
      <c r="N536" s="255"/>
    </row>
    <row r="537" spans="1:14" s="256" customFormat="1" hidden="1" outlineLevel="2">
      <c r="A537" s="178"/>
      <c r="B537" s="257" t="s">
        <v>195</v>
      </c>
      <c r="C537" s="253" t="s">
        <v>172</v>
      </c>
      <c r="D537" s="173">
        <v>-1</v>
      </c>
      <c r="E537" s="252">
        <v>2.5</v>
      </c>
      <c r="F537" s="252"/>
      <c r="G537" s="254" t="str">
        <f t="shared" si="93"/>
        <v>-</v>
      </c>
      <c r="H537" s="254" t="str">
        <f t="shared" si="93"/>
        <v>-</v>
      </c>
      <c r="I537" s="254" t="str">
        <f t="shared" si="93"/>
        <v>-</v>
      </c>
      <c r="J537" s="254" t="str">
        <f t="shared" si="93"/>
        <v>-</v>
      </c>
      <c r="K537" s="254" t="str">
        <f t="shared" si="93"/>
        <v>-</v>
      </c>
      <c r="L537" s="254" t="str">
        <f t="shared" si="93"/>
        <v>-</v>
      </c>
      <c r="M537" s="254" t="str">
        <f t="shared" si="93"/>
        <v>-</v>
      </c>
      <c r="N537" s="255"/>
    </row>
    <row r="538" spans="1:14" s="256" customFormat="1" hidden="1" outlineLevel="2">
      <c r="A538" s="178"/>
      <c r="B538" s="252" t="s">
        <v>196</v>
      </c>
      <c r="C538" s="253" t="s">
        <v>173</v>
      </c>
      <c r="D538" s="173">
        <v>1</v>
      </c>
      <c r="E538" s="252">
        <f>4.7-0.18*2</f>
        <v>4.34</v>
      </c>
      <c r="F538" s="252"/>
      <c r="G538" s="254" t="str">
        <f t="shared" si="93"/>
        <v>-</v>
      </c>
      <c r="H538" s="254" t="str">
        <f t="shared" si="93"/>
        <v>-</v>
      </c>
      <c r="I538" s="254">
        <f t="shared" si="93"/>
        <v>4.34</v>
      </c>
      <c r="J538" s="254" t="str">
        <f t="shared" si="93"/>
        <v>-</v>
      </c>
      <c r="K538" s="254" t="str">
        <f t="shared" si="93"/>
        <v>-</v>
      </c>
      <c r="L538" s="254" t="str">
        <f t="shared" si="93"/>
        <v>-</v>
      </c>
      <c r="M538" s="254" t="str">
        <f t="shared" si="93"/>
        <v>-</v>
      </c>
      <c r="N538" s="255"/>
    </row>
    <row r="539" spans="1:14" s="256" customFormat="1" hidden="1" outlineLevel="2">
      <c r="A539" s="178"/>
      <c r="B539" s="252" t="s">
        <v>197</v>
      </c>
      <c r="C539" s="253" t="s">
        <v>175</v>
      </c>
      <c r="D539" s="173">
        <v>1</v>
      </c>
      <c r="E539" s="252">
        <f>0.3*0.6*2</f>
        <v>0.36</v>
      </c>
      <c r="F539" s="252"/>
      <c r="G539" s="254" t="str">
        <f t="shared" si="93"/>
        <v>-</v>
      </c>
      <c r="H539" s="254" t="str">
        <f t="shared" si="93"/>
        <v>-</v>
      </c>
      <c r="I539" s="254" t="str">
        <f t="shared" si="93"/>
        <v>-</v>
      </c>
      <c r="J539" s="254">
        <f t="shared" si="93"/>
        <v>0.36</v>
      </c>
      <c r="K539" s="254" t="str">
        <f t="shared" si="93"/>
        <v>-</v>
      </c>
      <c r="L539" s="254" t="str">
        <f t="shared" si="93"/>
        <v>-</v>
      </c>
      <c r="M539" s="254" t="str">
        <f t="shared" si="93"/>
        <v>-</v>
      </c>
      <c r="N539" s="255"/>
    </row>
    <row r="540" spans="1:14" s="256" customFormat="1" hidden="1" outlineLevel="2">
      <c r="A540" s="178"/>
      <c r="B540" s="252" t="s">
        <v>198</v>
      </c>
      <c r="C540" s="253" t="s">
        <v>174</v>
      </c>
      <c r="D540" s="173">
        <v>1</v>
      </c>
      <c r="E540" s="252">
        <v>12.4</v>
      </c>
      <c r="F540" s="252">
        <v>2.2999999999999998</v>
      </c>
      <c r="G540" s="254" t="str">
        <f t="shared" si="93"/>
        <v>-</v>
      </c>
      <c r="H540" s="254" t="str">
        <f t="shared" si="93"/>
        <v>-</v>
      </c>
      <c r="I540" s="254" t="str">
        <f t="shared" si="93"/>
        <v>-</v>
      </c>
      <c r="J540" s="254" t="str">
        <f t="shared" si="93"/>
        <v>-</v>
      </c>
      <c r="K540" s="254" t="str">
        <f t="shared" si="93"/>
        <v>-</v>
      </c>
      <c r="L540" s="254" t="str">
        <f t="shared" si="93"/>
        <v>-</v>
      </c>
      <c r="M540" s="254" t="str">
        <f t="shared" si="93"/>
        <v>-</v>
      </c>
      <c r="N540" s="255"/>
    </row>
    <row r="541" spans="1:14" s="256" customFormat="1" hidden="1" outlineLevel="2">
      <c r="A541" s="178"/>
      <c r="B541" s="257" t="s">
        <v>212</v>
      </c>
      <c r="C541" s="253" t="s">
        <v>174</v>
      </c>
      <c r="D541" s="173">
        <v>-1</v>
      </c>
      <c r="E541" s="252">
        <v>0.8</v>
      </c>
      <c r="F541" s="252">
        <v>2.2200000000000002</v>
      </c>
      <c r="G541" s="254" t="str">
        <f t="shared" si="93"/>
        <v>-</v>
      </c>
      <c r="H541" s="254" t="str">
        <f t="shared" si="93"/>
        <v>-</v>
      </c>
      <c r="I541" s="254" t="str">
        <f t="shared" si="93"/>
        <v>-</v>
      </c>
      <c r="J541" s="254" t="str">
        <f t="shared" si="93"/>
        <v>-</v>
      </c>
      <c r="K541" s="254" t="str">
        <f t="shared" si="93"/>
        <v>-</v>
      </c>
      <c r="L541" s="254" t="str">
        <f t="shared" si="93"/>
        <v>-</v>
      </c>
      <c r="M541" s="254" t="str">
        <f t="shared" si="93"/>
        <v>-</v>
      </c>
      <c r="N541" s="255"/>
    </row>
    <row r="542" spans="1:14" s="256" customFormat="1" hidden="1" outlineLevel="2">
      <c r="A542" s="178"/>
      <c r="B542" s="257" t="s">
        <v>199</v>
      </c>
      <c r="C542" s="253" t="s">
        <v>174</v>
      </c>
      <c r="D542" s="173">
        <v>-1</v>
      </c>
      <c r="E542" s="252">
        <v>1.8</v>
      </c>
      <c r="F542" s="252">
        <v>1.75</v>
      </c>
      <c r="G542" s="254" t="str">
        <f t="shared" si="93"/>
        <v>-</v>
      </c>
      <c r="H542" s="254" t="str">
        <f t="shared" si="93"/>
        <v>-</v>
      </c>
      <c r="I542" s="254" t="str">
        <f t="shared" si="93"/>
        <v>-</v>
      </c>
      <c r="J542" s="254" t="str">
        <f t="shared" si="93"/>
        <v>-</v>
      </c>
      <c r="K542" s="254" t="str">
        <f t="shared" si="93"/>
        <v>-</v>
      </c>
      <c r="L542" s="254" t="str">
        <f t="shared" si="93"/>
        <v>-</v>
      </c>
      <c r="M542" s="254" t="str">
        <f t="shared" si="93"/>
        <v>-</v>
      </c>
      <c r="N542" s="255"/>
    </row>
    <row r="543" spans="1:14" s="256" customFormat="1" hidden="1" outlineLevel="2">
      <c r="A543" s="178"/>
      <c r="B543" s="257" t="s">
        <v>200</v>
      </c>
      <c r="C543" s="253" t="s">
        <v>174</v>
      </c>
      <c r="D543" s="173">
        <v>-2</v>
      </c>
      <c r="E543" s="252">
        <v>0.85</v>
      </c>
      <c r="F543" s="252">
        <v>0.55000000000000004</v>
      </c>
      <c r="G543" s="254" t="str">
        <f t="shared" si="93"/>
        <v>-</v>
      </c>
      <c r="H543" s="254" t="str">
        <f t="shared" si="93"/>
        <v>-</v>
      </c>
      <c r="I543" s="254" t="str">
        <f t="shared" si="93"/>
        <v>-</v>
      </c>
      <c r="J543" s="254" t="str">
        <f t="shared" si="93"/>
        <v>-</v>
      </c>
      <c r="K543" s="254" t="str">
        <f t="shared" si="93"/>
        <v>-</v>
      </c>
      <c r="L543" s="254" t="str">
        <f t="shared" si="93"/>
        <v>-</v>
      </c>
      <c r="M543" s="254" t="str">
        <f t="shared" si="93"/>
        <v>-</v>
      </c>
      <c r="N543" s="255"/>
    </row>
    <row r="544" spans="1:14" s="256" customFormat="1" hidden="1" outlineLevel="2">
      <c r="A544" s="178"/>
      <c r="B544" s="258" t="s">
        <v>201</v>
      </c>
      <c r="C544" s="253" t="s">
        <v>174</v>
      </c>
      <c r="D544" s="173">
        <v>1</v>
      </c>
      <c r="E544" s="252">
        <v>2.15</v>
      </c>
      <c r="F544" s="252">
        <v>0.25</v>
      </c>
      <c r="G544" s="254" t="str">
        <f t="shared" si="93"/>
        <v>-</v>
      </c>
      <c r="H544" s="254" t="str">
        <f t="shared" si="93"/>
        <v>-</v>
      </c>
      <c r="I544" s="254" t="str">
        <f t="shared" si="93"/>
        <v>-</v>
      </c>
      <c r="J544" s="254" t="str">
        <f t="shared" si="93"/>
        <v>-</v>
      </c>
      <c r="K544" s="254" t="str">
        <f t="shared" si="93"/>
        <v>-</v>
      </c>
      <c r="L544" s="254" t="str">
        <f t="shared" si="93"/>
        <v>-</v>
      </c>
      <c r="M544" s="254" t="str">
        <f t="shared" si="93"/>
        <v>-</v>
      </c>
      <c r="N544" s="255"/>
    </row>
    <row r="545" spans="1:14" s="256" customFormat="1" hidden="1" outlineLevel="2">
      <c r="A545" s="178"/>
      <c r="B545" s="252" t="s">
        <v>202</v>
      </c>
      <c r="C545" s="253" t="s">
        <v>176</v>
      </c>
      <c r="D545" s="173">
        <v>1</v>
      </c>
      <c r="E545" s="252">
        <v>2.15</v>
      </c>
      <c r="F545" s="252">
        <v>0.9</v>
      </c>
      <c r="G545" s="254" t="str">
        <f t="shared" si="93"/>
        <v>-</v>
      </c>
      <c r="H545" s="254" t="str">
        <f t="shared" si="93"/>
        <v>-</v>
      </c>
      <c r="I545" s="254" t="str">
        <f t="shared" si="93"/>
        <v>-</v>
      </c>
      <c r="J545" s="254" t="str">
        <f t="shared" si="93"/>
        <v>-</v>
      </c>
      <c r="K545" s="254" t="str">
        <f t="shared" si="93"/>
        <v>-</v>
      </c>
      <c r="L545" s="254" t="str">
        <f t="shared" si="93"/>
        <v>-</v>
      </c>
      <c r="M545" s="254" t="str">
        <f t="shared" si="93"/>
        <v>-</v>
      </c>
      <c r="N545" s="255"/>
    </row>
    <row r="546" spans="1:14" s="256" customFormat="1" hidden="1" outlineLevel="2">
      <c r="A546" s="178"/>
      <c r="B546" s="257" t="s">
        <v>203</v>
      </c>
      <c r="C546" s="253" t="s">
        <v>176</v>
      </c>
      <c r="D546" s="173">
        <v>-1</v>
      </c>
      <c r="E546" s="252">
        <v>1.65</v>
      </c>
      <c r="F546" s="252">
        <v>0.7</v>
      </c>
      <c r="G546" s="254" t="str">
        <f t="shared" si="93"/>
        <v>-</v>
      </c>
      <c r="H546" s="254" t="str">
        <f t="shared" si="93"/>
        <v>-</v>
      </c>
      <c r="I546" s="254" t="str">
        <f t="shared" si="93"/>
        <v>-</v>
      </c>
      <c r="J546" s="254" t="str">
        <f t="shared" si="93"/>
        <v>-</v>
      </c>
      <c r="K546" s="254" t="str">
        <f t="shared" si="93"/>
        <v>-</v>
      </c>
      <c r="L546" s="254" t="str">
        <f t="shared" si="93"/>
        <v>-</v>
      </c>
      <c r="M546" s="254" t="str">
        <f t="shared" si="93"/>
        <v>-</v>
      </c>
      <c r="N546" s="255"/>
    </row>
    <row r="547" spans="1:14" s="256" customFormat="1" hidden="1" outlineLevel="2">
      <c r="A547" s="178"/>
      <c r="B547" s="252" t="s">
        <v>204</v>
      </c>
      <c r="C547" s="253" t="s">
        <v>177</v>
      </c>
      <c r="D547" s="173">
        <v>1</v>
      </c>
      <c r="E547" s="252"/>
      <c r="F547" s="252"/>
      <c r="G547" s="254" t="str">
        <f t="shared" si="93"/>
        <v>-</v>
      </c>
      <c r="H547" s="254" t="str">
        <f t="shared" si="93"/>
        <v>-</v>
      </c>
      <c r="I547" s="254" t="str">
        <f t="shared" si="93"/>
        <v>-</v>
      </c>
      <c r="J547" s="254" t="str">
        <f t="shared" si="93"/>
        <v>-</v>
      </c>
      <c r="K547" s="254">
        <f t="shared" si="93"/>
        <v>1</v>
      </c>
      <c r="L547" s="254" t="str">
        <f t="shared" si="93"/>
        <v>-</v>
      </c>
      <c r="M547" s="254" t="str">
        <f t="shared" si="93"/>
        <v>-</v>
      </c>
      <c r="N547" s="255"/>
    </row>
    <row r="548" spans="1:14" s="256" customFormat="1" hidden="1" outlineLevel="2">
      <c r="A548" s="178"/>
      <c r="B548" s="252" t="s">
        <v>205</v>
      </c>
      <c r="C548" s="253" t="s">
        <v>178</v>
      </c>
      <c r="D548" s="173">
        <v>1</v>
      </c>
      <c r="E548" s="252"/>
      <c r="F548" s="252"/>
      <c r="G548" s="254" t="str">
        <f t="shared" si="93"/>
        <v>-</v>
      </c>
      <c r="H548" s="254" t="str">
        <f t="shared" si="93"/>
        <v>-</v>
      </c>
      <c r="I548" s="254" t="str">
        <f t="shared" si="93"/>
        <v>-</v>
      </c>
      <c r="J548" s="254" t="str">
        <f t="shared" si="93"/>
        <v>-</v>
      </c>
      <c r="K548" s="254" t="str">
        <f t="shared" si="93"/>
        <v>-</v>
      </c>
      <c r="L548" s="254">
        <f t="shared" si="93"/>
        <v>1</v>
      </c>
      <c r="M548" s="254" t="str">
        <f t="shared" si="93"/>
        <v>-</v>
      </c>
      <c r="N548" s="255"/>
    </row>
    <row r="549" spans="1:14" s="256" customFormat="1" hidden="1" outlineLevel="2">
      <c r="A549" s="259"/>
      <c r="B549" s="252"/>
      <c r="C549" s="253"/>
      <c r="D549" s="173"/>
      <c r="E549" s="252"/>
      <c r="F549" s="252"/>
      <c r="G549" s="254" t="str">
        <f t="shared" si="93"/>
        <v>-</v>
      </c>
      <c r="H549" s="254" t="str">
        <f t="shared" si="93"/>
        <v>-</v>
      </c>
      <c r="I549" s="254" t="str">
        <f t="shared" si="93"/>
        <v>-</v>
      </c>
      <c r="J549" s="254" t="str">
        <f t="shared" si="93"/>
        <v>-</v>
      </c>
      <c r="K549" s="254" t="str">
        <f t="shared" si="93"/>
        <v>-</v>
      </c>
      <c r="L549" s="254" t="str">
        <f t="shared" si="93"/>
        <v>-</v>
      </c>
      <c r="M549" s="254" t="str">
        <f t="shared" si="93"/>
        <v>-</v>
      </c>
      <c r="N549" s="255"/>
    </row>
    <row r="550" spans="1:14" s="251" customFormat="1" ht="15" hidden="1" outlineLevel="1" collapsed="1">
      <c r="A550" s="245"/>
      <c r="B550" s="246" t="s">
        <v>220</v>
      </c>
      <c r="C550" s="245"/>
      <c r="D550" s="247">
        <v>1</v>
      </c>
      <c r="E550" s="248"/>
      <c r="F550" s="248"/>
      <c r="G550" s="249">
        <f t="shared" ref="G550:M550" si="94">SUBTOTAL(9,G551:G567)</f>
        <v>29</v>
      </c>
      <c r="H550" s="249">
        <f t="shared" si="94"/>
        <v>52.5</v>
      </c>
      <c r="I550" s="249">
        <f t="shared" si="94"/>
        <v>10.6</v>
      </c>
      <c r="J550" s="249">
        <f t="shared" si="94"/>
        <v>0</v>
      </c>
      <c r="K550" s="249">
        <f t="shared" si="94"/>
        <v>3</v>
      </c>
      <c r="L550" s="249">
        <f t="shared" si="94"/>
        <v>3</v>
      </c>
      <c r="M550" s="249">
        <f t="shared" si="94"/>
        <v>1</v>
      </c>
      <c r="N550" s="250"/>
    </row>
    <row r="551" spans="1:14" s="256" customFormat="1" hidden="1" outlineLevel="2">
      <c r="A551" s="178"/>
      <c r="B551" s="252" t="s">
        <v>189</v>
      </c>
      <c r="C551" s="253" t="s">
        <v>169</v>
      </c>
      <c r="D551" s="173">
        <v>1</v>
      </c>
      <c r="E551" s="252">
        <v>29</v>
      </c>
      <c r="F551" s="252"/>
      <c r="G551" s="254">
        <f t="shared" si="93"/>
        <v>29</v>
      </c>
      <c r="H551" s="254" t="str">
        <f t="shared" si="93"/>
        <v>-</v>
      </c>
      <c r="I551" s="254" t="str">
        <f t="shared" si="93"/>
        <v>-</v>
      </c>
      <c r="J551" s="254" t="str">
        <f t="shared" si="93"/>
        <v>-</v>
      </c>
      <c r="K551" s="254" t="str">
        <f t="shared" si="93"/>
        <v>-</v>
      </c>
      <c r="L551" s="254" t="str">
        <f t="shared" si="93"/>
        <v>-</v>
      </c>
      <c r="M551" s="254" t="str">
        <f t="shared" si="93"/>
        <v>-</v>
      </c>
      <c r="N551" s="255"/>
    </row>
    <row r="552" spans="1:14" s="256" customFormat="1" hidden="1" outlineLevel="2">
      <c r="A552" s="178"/>
      <c r="B552" s="252" t="s">
        <v>190</v>
      </c>
      <c r="C552" s="253" t="s">
        <v>170</v>
      </c>
      <c r="D552" s="173">
        <v>1</v>
      </c>
      <c r="E552" s="252">
        <v>24.2</v>
      </c>
      <c r="F552" s="252"/>
      <c r="G552" s="254" t="str">
        <f t="shared" si="93"/>
        <v>-</v>
      </c>
      <c r="H552" s="254" t="str">
        <f t="shared" si="93"/>
        <v>-</v>
      </c>
      <c r="I552" s="254" t="str">
        <f t="shared" si="93"/>
        <v>-</v>
      </c>
      <c r="J552" s="254" t="str">
        <f t="shared" si="93"/>
        <v>-</v>
      </c>
      <c r="K552" s="254" t="str">
        <f t="shared" si="93"/>
        <v>-</v>
      </c>
      <c r="L552" s="254" t="str">
        <f t="shared" si="93"/>
        <v>-</v>
      </c>
      <c r="M552" s="254" t="str">
        <f t="shared" si="93"/>
        <v>-</v>
      </c>
      <c r="N552" s="255"/>
    </row>
    <row r="553" spans="1:14" s="256" customFormat="1" hidden="1" outlineLevel="2">
      <c r="A553" s="178"/>
      <c r="B553" s="257" t="s">
        <v>191</v>
      </c>
      <c r="C553" s="253" t="s">
        <v>170</v>
      </c>
      <c r="D553" s="173">
        <v>-3</v>
      </c>
      <c r="E553" s="252">
        <v>0.8</v>
      </c>
      <c r="F553" s="252"/>
      <c r="G553" s="254" t="str">
        <f t="shared" si="93"/>
        <v>-</v>
      </c>
      <c r="H553" s="254" t="str">
        <f t="shared" si="93"/>
        <v>-</v>
      </c>
      <c r="I553" s="254" t="str">
        <f t="shared" si="93"/>
        <v>-</v>
      </c>
      <c r="J553" s="254" t="str">
        <f t="shared" si="93"/>
        <v>-</v>
      </c>
      <c r="K553" s="254" t="str">
        <f t="shared" si="93"/>
        <v>-</v>
      </c>
      <c r="L553" s="254" t="str">
        <f t="shared" si="93"/>
        <v>-</v>
      </c>
      <c r="M553" s="254" t="str">
        <f t="shared" si="93"/>
        <v>-</v>
      </c>
      <c r="N553" s="255"/>
    </row>
    <row r="554" spans="1:14" s="256" customFormat="1" hidden="1" outlineLevel="2">
      <c r="A554" s="178"/>
      <c r="B554" s="257" t="s">
        <v>192</v>
      </c>
      <c r="C554" s="253" t="s">
        <v>170</v>
      </c>
      <c r="D554" s="173">
        <v>-1</v>
      </c>
      <c r="E554" s="252">
        <v>3.8</v>
      </c>
      <c r="F554" s="252"/>
      <c r="G554" s="254" t="str">
        <f t="shared" si="93"/>
        <v>-</v>
      </c>
      <c r="H554" s="254" t="str">
        <f t="shared" ref="H554:M554" si="95">IF($C554=H$5,PRODUCT($D554:$F554),"-")</f>
        <v>-</v>
      </c>
      <c r="I554" s="254" t="str">
        <f t="shared" si="95"/>
        <v>-</v>
      </c>
      <c r="J554" s="254" t="str">
        <f t="shared" si="95"/>
        <v>-</v>
      </c>
      <c r="K554" s="254" t="str">
        <f t="shared" si="95"/>
        <v>-</v>
      </c>
      <c r="L554" s="254" t="str">
        <f t="shared" si="95"/>
        <v>-</v>
      </c>
      <c r="M554" s="254" t="str">
        <f t="shared" si="95"/>
        <v>-</v>
      </c>
      <c r="N554" s="255"/>
    </row>
    <row r="555" spans="1:14" s="256" customFormat="1" hidden="1" outlineLevel="2">
      <c r="A555" s="178"/>
      <c r="B555" s="252" t="s">
        <v>193</v>
      </c>
      <c r="C555" s="253" t="s">
        <v>171</v>
      </c>
      <c r="D555" s="173">
        <v>1</v>
      </c>
      <c r="E555" s="252">
        <f>47.7+4.8</f>
        <v>52.5</v>
      </c>
      <c r="F555" s="252"/>
      <c r="G555" s="254" t="str">
        <f t="shared" ref="G555:M567" si="96">IF($C555=G$5,PRODUCT($D555:$F555),"-")</f>
        <v>-</v>
      </c>
      <c r="H555" s="254">
        <f t="shared" si="96"/>
        <v>52.5</v>
      </c>
      <c r="I555" s="254" t="str">
        <f t="shared" si="96"/>
        <v>-</v>
      </c>
      <c r="J555" s="254" t="str">
        <f t="shared" si="96"/>
        <v>-</v>
      </c>
      <c r="K555" s="254" t="str">
        <f t="shared" si="96"/>
        <v>-</v>
      </c>
      <c r="L555" s="254" t="str">
        <f t="shared" si="96"/>
        <v>-</v>
      </c>
      <c r="M555" s="254" t="str">
        <f t="shared" si="96"/>
        <v>-</v>
      </c>
      <c r="N555" s="255"/>
    </row>
    <row r="556" spans="1:14" s="256" customFormat="1" hidden="1" outlineLevel="2">
      <c r="A556" s="178"/>
      <c r="B556" s="252" t="s">
        <v>194</v>
      </c>
      <c r="C556" s="253" t="s">
        <v>172</v>
      </c>
      <c r="D556" s="173">
        <v>1</v>
      </c>
      <c r="E556" s="252">
        <f>32.1+10</f>
        <v>42.1</v>
      </c>
      <c r="F556" s="252"/>
      <c r="G556" s="254" t="str">
        <f t="shared" si="96"/>
        <v>-</v>
      </c>
      <c r="H556" s="254" t="str">
        <f t="shared" si="96"/>
        <v>-</v>
      </c>
      <c r="I556" s="254" t="str">
        <f t="shared" si="96"/>
        <v>-</v>
      </c>
      <c r="J556" s="254" t="str">
        <f t="shared" si="96"/>
        <v>-</v>
      </c>
      <c r="K556" s="254" t="str">
        <f t="shared" si="96"/>
        <v>-</v>
      </c>
      <c r="L556" s="254" t="str">
        <f t="shared" si="96"/>
        <v>-</v>
      </c>
      <c r="M556" s="254" t="str">
        <f t="shared" si="96"/>
        <v>-</v>
      </c>
      <c r="N556" s="255"/>
    </row>
    <row r="557" spans="1:14" s="256" customFormat="1" hidden="1" outlineLevel="2">
      <c r="A557" s="178"/>
      <c r="B557" s="257" t="s">
        <v>212</v>
      </c>
      <c r="C557" s="253" t="s">
        <v>172</v>
      </c>
      <c r="D557" s="173">
        <v>-5</v>
      </c>
      <c r="E557" s="252">
        <v>0.8</v>
      </c>
      <c r="F557" s="252"/>
      <c r="G557" s="254" t="str">
        <f t="shared" si="96"/>
        <v>-</v>
      </c>
      <c r="H557" s="254" t="str">
        <f t="shared" si="96"/>
        <v>-</v>
      </c>
      <c r="I557" s="254" t="str">
        <f t="shared" si="96"/>
        <v>-</v>
      </c>
      <c r="J557" s="254" t="str">
        <f t="shared" si="96"/>
        <v>-</v>
      </c>
      <c r="K557" s="254" t="str">
        <f t="shared" si="96"/>
        <v>-</v>
      </c>
      <c r="L557" s="254" t="str">
        <f t="shared" si="96"/>
        <v>-</v>
      </c>
      <c r="M557" s="254" t="str">
        <f t="shared" si="96"/>
        <v>-</v>
      </c>
      <c r="N557" s="255"/>
    </row>
    <row r="558" spans="1:14" s="256" customFormat="1" hidden="1" outlineLevel="2">
      <c r="A558" s="178"/>
      <c r="B558" s="257" t="s">
        <v>212</v>
      </c>
      <c r="C558" s="253" t="s">
        <v>172</v>
      </c>
      <c r="D558" s="173">
        <v>-1</v>
      </c>
      <c r="E558" s="252">
        <v>1.25</v>
      </c>
      <c r="F558" s="252"/>
      <c r="G558" s="254" t="str">
        <f t="shared" si="96"/>
        <v>-</v>
      </c>
      <c r="H558" s="254" t="str">
        <f t="shared" si="96"/>
        <v>-</v>
      </c>
      <c r="I558" s="254" t="str">
        <f t="shared" si="96"/>
        <v>-</v>
      </c>
      <c r="J558" s="254" t="str">
        <f t="shared" si="96"/>
        <v>-</v>
      </c>
      <c r="K558" s="254" t="str">
        <f t="shared" si="96"/>
        <v>-</v>
      </c>
      <c r="L558" s="254" t="str">
        <f t="shared" si="96"/>
        <v>-</v>
      </c>
      <c r="M558" s="254" t="str">
        <f t="shared" si="96"/>
        <v>-</v>
      </c>
      <c r="N558" s="255"/>
    </row>
    <row r="559" spans="1:14" s="256" customFormat="1" hidden="1" outlineLevel="2">
      <c r="A559" s="178"/>
      <c r="B559" s="252" t="s">
        <v>196</v>
      </c>
      <c r="C559" s="253" t="s">
        <v>173</v>
      </c>
      <c r="D559" s="173">
        <v>1</v>
      </c>
      <c r="E559" s="252">
        <f>3.4+7.2</f>
        <v>10.6</v>
      </c>
      <c r="F559" s="252"/>
      <c r="G559" s="254" t="str">
        <f t="shared" si="96"/>
        <v>-</v>
      </c>
      <c r="H559" s="254" t="str">
        <f t="shared" si="96"/>
        <v>-</v>
      </c>
      <c r="I559" s="254">
        <f t="shared" si="96"/>
        <v>10.6</v>
      </c>
      <c r="J559" s="254" t="str">
        <f t="shared" si="96"/>
        <v>-</v>
      </c>
      <c r="K559" s="254" t="str">
        <f t="shared" si="96"/>
        <v>-</v>
      </c>
      <c r="L559" s="254" t="str">
        <f t="shared" si="96"/>
        <v>-</v>
      </c>
      <c r="M559" s="254" t="str">
        <f t="shared" si="96"/>
        <v>-</v>
      </c>
      <c r="N559" s="255"/>
    </row>
    <row r="560" spans="1:14" s="256" customFormat="1" hidden="1" outlineLevel="2">
      <c r="A560" s="178"/>
      <c r="B560" s="252" t="s">
        <v>198</v>
      </c>
      <c r="C560" s="253" t="s">
        <v>174</v>
      </c>
      <c r="D560" s="173">
        <v>1</v>
      </c>
      <c r="E560" s="252">
        <f>7.4+15.4</f>
        <v>22.8</v>
      </c>
      <c r="F560" s="252">
        <v>2.2999999999999998</v>
      </c>
      <c r="G560" s="254" t="str">
        <f t="shared" si="96"/>
        <v>-</v>
      </c>
      <c r="H560" s="254" t="str">
        <f t="shared" si="96"/>
        <v>-</v>
      </c>
      <c r="I560" s="254" t="str">
        <f t="shared" si="96"/>
        <v>-</v>
      </c>
      <c r="J560" s="254" t="str">
        <f t="shared" si="96"/>
        <v>-</v>
      </c>
      <c r="K560" s="254" t="str">
        <f t="shared" si="96"/>
        <v>-</v>
      </c>
      <c r="L560" s="254" t="str">
        <f t="shared" si="96"/>
        <v>-</v>
      </c>
      <c r="M560" s="254" t="str">
        <f t="shared" si="96"/>
        <v>-</v>
      </c>
      <c r="N560" s="255"/>
    </row>
    <row r="561" spans="1:14" s="256" customFormat="1" hidden="1" outlineLevel="2">
      <c r="A561" s="178"/>
      <c r="B561" s="257" t="s">
        <v>212</v>
      </c>
      <c r="C561" s="253" t="s">
        <v>174</v>
      </c>
      <c r="D561" s="173">
        <v>-1</v>
      </c>
      <c r="E561" s="252">
        <v>0.8</v>
      </c>
      <c r="F561" s="252">
        <v>2.2200000000000002</v>
      </c>
      <c r="G561" s="254" t="str">
        <f t="shared" si="96"/>
        <v>-</v>
      </c>
      <c r="H561" s="254" t="str">
        <f t="shared" si="96"/>
        <v>-</v>
      </c>
      <c r="I561" s="254" t="str">
        <f t="shared" si="96"/>
        <v>-</v>
      </c>
      <c r="J561" s="254" t="str">
        <f t="shared" si="96"/>
        <v>-</v>
      </c>
      <c r="K561" s="254" t="str">
        <f t="shared" si="96"/>
        <v>-</v>
      </c>
      <c r="L561" s="254" t="str">
        <f t="shared" si="96"/>
        <v>-</v>
      </c>
      <c r="M561" s="254" t="str">
        <f t="shared" si="96"/>
        <v>-</v>
      </c>
      <c r="N561" s="255"/>
    </row>
    <row r="562" spans="1:14" s="256" customFormat="1" hidden="1" outlineLevel="2">
      <c r="A562" s="178"/>
      <c r="B562" s="257" t="s">
        <v>199</v>
      </c>
      <c r="C562" s="253" t="s">
        <v>174</v>
      </c>
      <c r="D562" s="173">
        <v>-1</v>
      </c>
      <c r="E562" s="252">
        <f>0.95+1.45</f>
        <v>2.4</v>
      </c>
      <c r="F562" s="252">
        <v>1.45</v>
      </c>
      <c r="G562" s="254" t="str">
        <f t="shared" si="96"/>
        <v>-</v>
      </c>
      <c r="H562" s="254" t="str">
        <f t="shared" si="96"/>
        <v>-</v>
      </c>
      <c r="I562" s="254" t="str">
        <f t="shared" si="96"/>
        <v>-</v>
      </c>
      <c r="J562" s="254" t="str">
        <f t="shared" si="96"/>
        <v>-</v>
      </c>
      <c r="K562" s="254" t="str">
        <f t="shared" si="96"/>
        <v>-</v>
      </c>
      <c r="L562" s="254" t="str">
        <f t="shared" si="96"/>
        <v>-</v>
      </c>
      <c r="M562" s="254" t="str">
        <f t="shared" si="96"/>
        <v>-</v>
      </c>
      <c r="N562" s="255"/>
    </row>
    <row r="563" spans="1:14" s="256" customFormat="1" hidden="1" outlineLevel="2">
      <c r="A563" s="178"/>
      <c r="B563" s="258" t="s">
        <v>201</v>
      </c>
      <c r="C563" s="253" t="s">
        <v>174</v>
      </c>
      <c r="D563" s="173">
        <v>1</v>
      </c>
      <c r="E563" s="252">
        <f>E562+0.4</f>
        <v>2.8</v>
      </c>
      <c r="F563" s="252">
        <v>0.25</v>
      </c>
      <c r="G563" s="254" t="str">
        <f t="shared" si="96"/>
        <v>-</v>
      </c>
      <c r="H563" s="254" t="str">
        <f t="shared" si="96"/>
        <v>-</v>
      </c>
      <c r="I563" s="254" t="str">
        <f t="shared" si="96"/>
        <v>-</v>
      </c>
      <c r="J563" s="254" t="str">
        <f t="shared" si="96"/>
        <v>-</v>
      </c>
      <c r="K563" s="254" t="str">
        <f t="shared" si="96"/>
        <v>-</v>
      </c>
      <c r="L563" s="254" t="str">
        <f t="shared" si="96"/>
        <v>-</v>
      </c>
      <c r="M563" s="254" t="str">
        <f t="shared" si="96"/>
        <v>-</v>
      </c>
      <c r="N563" s="255"/>
    </row>
    <row r="564" spans="1:14" s="256" customFormat="1" hidden="1" outlineLevel="2">
      <c r="A564" s="178"/>
      <c r="B564" s="252" t="s">
        <v>204</v>
      </c>
      <c r="C564" s="253" t="s">
        <v>177</v>
      </c>
      <c r="D564" s="173">
        <v>3</v>
      </c>
      <c r="E564" s="252"/>
      <c r="F564" s="252"/>
      <c r="G564" s="254" t="str">
        <f t="shared" si="96"/>
        <v>-</v>
      </c>
      <c r="H564" s="254" t="str">
        <f t="shared" si="96"/>
        <v>-</v>
      </c>
      <c r="I564" s="254" t="str">
        <f t="shared" si="96"/>
        <v>-</v>
      </c>
      <c r="J564" s="254" t="str">
        <f t="shared" si="96"/>
        <v>-</v>
      </c>
      <c r="K564" s="254">
        <f t="shared" si="96"/>
        <v>3</v>
      </c>
      <c r="L564" s="254" t="str">
        <f t="shared" si="96"/>
        <v>-</v>
      </c>
      <c r="M564" s="254" t="str">
        <f t="shared" si="96"/>
        <v>-</v>
      </c>
      <c r="N564" s="255"/>
    </row>
    <row r="565" spans="1:14" s="256" customFormat="1" hidden="1" outlineLevel="2">
      <c r="A565" s="178"/>
      <c r="B565" s="252" t="s">
        <v>252</v>
      </c>
      <c r="C565" s="253" t="s">
        <v>179</v>
      </c>
      <c r="D565" s="173">
        <v>1</v>
      </c>
      <c r="E565" s="252"/>
      <c r="F565" s="252"/>
      <c r="G565" s="254" t="str">
        <f t="shared" si="96"/>
        <v>-</v>
      </c>
      <c r="H565" s="254" t="str">
        <f t="shared" si="96"/>
        <v>-</v>
      </c>
      <c r="I565" s="254" t="str">
        <f t="shared" si="96"/>
        <v>-</v>
      </c>
      <c r="J565" s="254" t="str">
        <f t="shared" si="96"/>
        <v>-</v>
      </c>
      <c r="K565" s="254" t="str">
        <f t="shared" si="96"/>
        <v>-</v>
      </c>
      <c r="L565" s="254" t="str">
        <f t="shared" si="96"/>
        <v>-</v>
      </c>
      <c r="M565" s="254">
        <f t="shared" si="96"/>
        <v>1</v>
      </c>
      <c r="N565" s="255"/>
    </row>
    <row r="566" spans="1:14" s="256" customFormat="1" hidden="1" outlineLevel="2">
      <c r="A566" s="178"/>
      <c r="B566" s="252" t="s">
        <v>205</v>
      </c>
      <c r="C566" s="253" t="s">
        <v>178</v>
      </c>
      <c r="D566" s="173">
        <v>3</v>
      </c>
      <c r="E566" s="252"/>
      <c r="F566" s="252"/>
      <c r="G566" s="254" t="str">
        <f t="shared" si="96"/>
        <v>-</v>
      </c>
      <c r="H566" s="254" t="str">
        <f t="shared" si="96"/>
        <v>-</v>
      </c>
      <c r="I566" s="254" t="str">
        <f t="shared" si="96"/>
        <v>-</v>
      </c>
      <c r="J566" s="254" t="str">
        <f t="shared" si="96"/>
        <v>-</v>
      </c>
      <c r="K566" s="254" t="str">
        <f t="shared" si="96"/>
        <v>-</v>
      </c>
      <c r="L566" s="254">
        <f t="shared" si="96"/>
        <v>3</v>
      </c>
      <c r="M566" s="254" t="str">
        <f t="shared" si="96"/>
        <v>-</v>
      </c>
      <c r="N566" s="255"/>
    </row>
    <row r="567" spans="1:14" s="256" customFormat="1" hidden="1" outlineLevel="2">
      <c r="A567" s="259"/>
      <c r="B567" s="252"/>
      <c r="C567" s="253"/>
      <c r="D567" s="173"/>
      <c r="E567" s="252"/>
      <c r="F567" s="252"/>
      <c r="G567" s="254" t="str">
        <f t="shared" si="96"/>
        <v>-</v>
      </c>
      <c r="H567" s="254" t="str">
        <f t="shared" si="96"/>
        <v>-</v>
      </c>
      <c r="I567" s="254" t="str">
        <f t="shared" si="96"/>
        <v>-</v>
      </c>
      <c r="J567" s="254" t="str">
        <f t="shared" si="96"/>
        <v>-</v>
      </c>
      <c r="K567" s="254" t="str">
        <f t="shared" si="96"/>
        <v>-</v>
      </c>
      <c r="L567" s="254" t="str">
        <f t="shared" si="96"/>
        <v>-</v>
      </c>
      <c r="M567" s="254" t="str">
        <f t="shared" si="96"/>
        <v>-</v>
      </c>
      <c r="N567" s="255"/>
    </row>
    <row r="568" spans="1:14" s="251" customFormat="1" ht="15" hidden="1" outlineLevel="1" collapsed="1">
      <c r="A568" s="245"/>
      <c r="B568" s="246" t="s">
        <v>259</v>
      </c>
      <c r="C568" s="245"/>
      <c r="D568" s="247">
        <v>1</v>
      </c>
      <c r="E568" s="248"/>
      <c r="F568" s="248"/>
      <c r="G568" s="249">
        <f t="shared" ref="G568:M568" si="97">SUBTOTAL(9,G569:G587)</f>
        <v>23.3</v>
      </c>
      <c r="H568" s="249">
        <f t="shared" si="97"/>
        <v>2.2000000000000002</v>
      </c>
      <c r="I568" s="249">
        <f t="shared" si="97"/>
        <v>7.94</v>
      </c>
      <c r="J568" s="249">
        <f t="shared" si="97"/>
        <v>0.36</v>
      </c>
      <c r="K568" s="249">
        <f t="shared" si="97"/>
        <v>0</v>
      </c>
      <c r="L568" s="249">
        <f t="shared" si="97"/>
        <v>0</v>
      </c>
      <c r="M568" s="249">
        <f t="shared" si="97"/>
        <v>0</v>
      </c>
      <c r="N568" s="250"/>
    </row>
    <row r="569" spans="1:14" s="256" customFormat="1" hidden="1" outlineLevel="2">
      <c r="A569" s="178"/>
      <c r="B569" s="252" t="s">
        <v>189</v>
      </c>
      <c r="C569" s="253" t="s">
        <v>169</v>
      </c>
      <c r="D569" s="173">
        <v>1</v>
      </c>
      <c r="E569" s="252">
        <v>23.3</v>
      </c>
      <c r="F569" s="252"/>
      <c r="G569" s="254">
        <f t="shared" ref="G569:M591" si="98">IF($C569=G$5,PRODUCT($D569:$F569),"-")</f>
        <v>23.3</v>
      </c>
      <c r="H569" s="254" t="str">
        <f t="shared" si="98"/>
        <v>-</v>
      </c>
      <c r="I569" s="254" t="str">
        <f t="shared" si="98"/>
        <v>-</v>
      </c>
      <c r="J569" s="254" t="str">
        <f t="shared" si="98"/>
        <v>-</v>
      </c>
      <c r="K569" s="254" t="str">
        <f t="shared" si="98"/>
        <v>-</v>
      </c>
      <c r="L569" s="254" t="str">
        <f t="shared" si="98"/>
        <v>-</v>
      </c>
      <c r="M569" s="254" t="str">
        <f t="shared" si="98"/>
        <v>-</v>
      </c>
      <c r="N569" s="255"/>
    </row>
    <row r="570" spans="1:14" s="256" customFormat="1" hidden="1" outlineLevel="2">
      <c r="A570" s="178"/>
      <c r="B570" s="252" t="s">
        <v>190</v>
      </c>
      <c r="C570" s="253" t="s">
        <v>170</v>
      </c>
      <c r="D570" s="173">
        <v>1</v>
      </c>
      <c r="E570" s="252">
        <v>23.5</v>
      </c>
      <c r="F570" s="252"/>
      <c r="G570" s="254" t="str">
        <f t="shared" si="98"/>
        <v>-</v>
      </c>
      <c r="H570" s="254" t="str">
        <f t="shared" si="98"/>
        <v>-</v>
      </c>
      <c r="I570" s="254" t="str">
        <f t="shared" si="98"/>
        <v>-</v>
      </c>
      <c r="J570" s="254" t="str">
        <f t="shared" si="98"/>
        <v>-</v>
      </c>
      <c r="K570" s="254" t="str">
        <f t="shared" si="98"/>
        <v>-</v>
      </c>
      <c r="L570" s="254" t="str">
        <f t="shared" si="98"/>
        <v>-</v>
      </c>
      <c r="M570" s="254" t="str">
        <f t="shared" si="98"/>
        <v>-</v>
      </c>
      <c r="N570" s="255"/>
    </row>
    <row r="571" spans="1:14" s="256" customFormat="1" hidden="1" outlineLevel="2">
      <c r="A571" s="178"/>
      <c r="B571" s="257" t="s">
        <v>191</v>
      </c>
      <c r="C571" s="253" t="s">
        <v>170</v>
      </c>
      <c r="D571" s="173">
        <v>-2</v>
      </c>
      <c r="E571" s="252">
        <v>0.8</v>
      </c>
      <c r="F571" s="252"/>
      <c r="G571" s="254" t="str">
        <f t="shared" si="98"/>
        <v>-</v>
      </c>
      <c r="H571" s="254" t="str">
        <f t="shared" si="98"/>
        <v>-</v>
      </c>
      <c r="I571" s="254" t="str">
        <f t="shared" si="98"/>
        <v>-</v>
      </c>
      <c r="J571" s="254" t="str">
        <f t="shared" si="98"/>
        <v>-</v>
      </c>
      <c r="K571" s="254" t="str">
        <f t="shared" si="98"/>
        <v>-</v>
      </c>
      <c r="L571" s="254" t="str">
        <f t="shared" si="98"/>
        <v>-</v>
      </c>
      <c r="M571" s="254" t="str">
        <f t="shared" si="98"/>
        <v>-</v>
      </c>
      <c r="N571" s="255"/>
    </row>
    <row r="572" spans="1:14" s="256" customFormat="1" hidden="1" outlineLevel="2">
      <c r="A572" s="178"/>
      <c r="B572" s="257" t="s">
        <v>191</v>
      </c>
      <c r="C572" s="253" t="s">
        <v>170</v>
      </c>
      <c r="D572" s="173">
        <v>-1</v>
      </c>
      <c r="E572" s="252">
        <v>2.6</v>
      </c>
      <c r="F572" s="252"/>
      <c r="G572" s="254" t="str">
        <f t="shared" si="98"/>
        <v>-</v>
      </c>
      <c r="H572" s="254" t="str">
        <f t="shared" si="98"/>
        <v>-</v>
      </c>
      <c r="I572" s="254" t="str">
        <f t="shared" si="98"/>
        <v>-</v>
      </c>
      <c r="J572" s="254" t="str">
        <f t="shared" si="98"/>
        <v>-</v>
      </c>
      <c r="K572" s="254" t="str">
        <f t="shared" si="98"/>
        <v>-</v>
      </c>
      <c r="L572" s="254" t="str">
        <f t="shared" si="98"/>
        <v>-</v>
      </c>
      <c r="M572" s="254" t="str">
        <f t="shared" si="98"/>
        <v>-</v>
      </c>
      <c r="N572" s="255"/>
    </row>
    <row r="573" spans="1:14" s="256" customFormat="1" hidden="1" outlineLevel="2">
      <c r="A573" s="178"/>
      <c r="B573" s="257" t="s">
        <v>195</v>
      </c>
      <c r="C573" s="253" t="s">
        <v>170</v>
      </c>
      <c r="D573" s="173">
        <v>-1</v>
      </c>
      <c r="E573" s="252">
        <v>1.2</v>
      </c>
      <c r="F573" s="252"/>
      <c r="G573" s="254" t="str">
        <f t="shared" si="98"/>
        <v>-</v>
      </c>
      <c r="H573" s="254" t="str">
        <f t="shared" si="98"/>
        <v>-</v>
      </c>
      <c r="I573" s="254" t="str">
        <f t="shared" si="98"/>
        <v>-</v>
      </c>
      <c r="J573" s="254" t="str">
        <f t="shared" si="98"/>
        <v>-</v>
      </c>
      <c r="K573" s="254" t="str">
        <f t="shared" si="98"/>
        <v>-</v>
      </c>
      <c r="L573" s="254" t="str">
        <f t="shared" si="98"/>
        <v>-</v>
      </c>
      <c r="M573" s="254" t="str">
        <f t="shared" si="98"/>
        <v>-</v>
      </c>
      <c r="N573" s="255"/>
    </row>
    <row r="574" spans="1:14" s="256" customFormat="1" hidden="1" outlineLevel="2">
      <c r="A574" s="178"/>
      <c r="B574" s="257" t="s">
        <v>192</v>
      </c>
      <c r="C574" s="253" t="s">
        <v>170</v>
      </c>
      <c r="D574" s="173">
        <v>-1</v>
      </c>
      <c r="E574" s="252">
        <v>2.8</v>
      </c>
      <c r="F574" s="252"/>
      <c r="G574" s="254" t="str">
        <f t="shared" si="98"/>
        <v>-</v>
      </c>
      <c r="H574" s="254" t="str">
        <f t="shared" si="98"/>
        <v>-</v>
      </c>
      <c r="I574" s="254" t="str">
        <f t="shared" si="98"/>
        <v>-</v>
      </c>
      <c r="J574" s="254" t="str">
        <f t="shared" si="98"/>
        <v>-</v>
      </c>
      <c r="K574" s="254" t="str">
        <f t="shared" si="98"/>
        <v>-</v>
      </c>
      <c r="L574" s="254" t="str">
        <f t="shared" si="98"/>
        <v>-</v>
      </c>
      <c r="M574" s="254" t="str">
        <f t="shared" si="98"/>
        <v>-</v>
      </c>
      <c r="N574" s="255"/>
    </row>
    <row r="575" spans="1:14" s="256" customFormat="1" hidden="1" outlineLevel="2">
      <c r="A575" s="178"/>
      <c r="B575" s="252" t="s">
        <v>193</v>
      </c>
      <c r="C575" s="253" t="s">
        <v>171</v>
      </c>
      <c r="D575" s="173">
        <v>1</v>
      </c>
      <c r="E575" s="252">
        <v>2.2000000000000002</v>
      </c>
      <c r="F575" s="252"/>
      <c r="G575" s="254" t="str">
        <f t="shared" si="98"/>
        <v>-</v>
      </c>
      <c r="H575" s="254">
        <f t="shared" si="98"/>
        <v>2.2000000000000002</v>
      </c>
      <c r="I575" s="254" t="str">
        <f t="shared" si="98"/>
        <v>-</v>
      </c>
      <c r="J575" s="254" t="str">
        <f t="shared" si="98"/>
        <v>-</v>
      </c>
      <c r="K575" s="254" t="str">
        <f t="shared" si="98"/>
        <v>-</v>
      </c>
      <c r="L575" s="254" t="str">
        <f t="shared" si="98"/>
        <v>-</v>
      </c>
      <c r="M575" s="254" t="str">
        <f t="shared" si="98"/>
        <v>-</v>
      </c>
      <c r="N575" s="255"/>
    </row>
    <row r="576" spans="1:14" s="256" customFormat="1" hidden="1" outlineLevel="2">
      <c r="A576" s="178"/>
      <c r="B576" s="252" t="s">
        <v>194</v>
      </c>
      <c r="C576" s="253" t="s">
        <v>172</v>
      </c>
      <c r="D576" s="173">
        <v>1</v>
      </c>
      <c r="E576" s="252">
        <v>6</v>
      </c>
      <c r="F576" s="252"/>
      <c r="G576" s="254" t="str">
        <f t="shared" si="98"/>
        <v>-</v>
      </c>
      <c r="H576" s="254" t="str">
        <f t="shared" si="98"/>
        <v>-</v>
      </c>
      <c r="I576" s="254" t="str">
        <f t="shared" si="98"/>
        <v>-</v>
      </c>
      <c r="J576" s="254" t="str">
        <f t="shared" si="98"/>
        <v>-</v>
      </c>
      <c r="K576" s="254" t="str">
        <f t="shared" si="98"/>
        <v>-</v>
      </c>
      <c r="L576" s="254" t="str">
        <f t="shared" si="98"/>
        <v>-</v>
      </c>
      <c r="M576" s="254" t="str">
        <f t="shared" si="98"/>
        <v>-</v>
      </c>
      <c r="N576" s="255"/>
    </row>
    <row r="577" spans="1:14" s="256" customFormat="1" hidden="1" outlineLevel="2">
      <c r="A577" s="178"/>
      <c r="B577" s="257" t="s">
        <v>212</v>
      </c>
      <c r="C577" s="253" t="s">
        <v>172</v>
      </c>
      <c r="D577" s="173">
        <v>-1</v>
      </c>
      <c r="E577" s="252">
        <v>0.8</v>
      </c>
      <c r="F577" s="252"/>
      <c r="G577" s="254" t="str">
        <f t="shared" si="98"/>
        <v>-</v>
      </c>
      <c r="H577" s="254" t="str">
        <f t="shared" si="98"/>
        <v>-</v>
      </c>
      <c r="I577" s="254" t="str">
        <f t="shared" si="98"/>
        <v>-</v>
      </c>
      <c r="J577" s="254" t="str">
        <f t="shared" si="98"/>
        <v>-</v>
      </c>
      <c r="K577" s="254" t="str">
        <f t="shared" si="98"/>
        <v>-</v>
      </c>
      <c r="L577" s="254" t="str">
        <f t="shared" si="98"/>
        <v>-</v>
      </c>
      <c r="M577" s="254" t="str">
        <f t="shared" si="98"/>
        <v>-</v>
      </c>
      <c r="N577" s="255"/>
    </row>
    <row r="578" spans="1:14" s="256" customFormat="1" hidden="1" outlineLevel="2">
      <c r="A578" s="178"/>
      <c r="B578" s="257" t="s">
        <v>195</v>
      </c>
      <c r="C578" s="253" t="s">
        <v>172</v>
      </c>
      <c r="D578" s="173">
        <v>-1</v>
      </c>
      <c r="E578" s="252">
        <v>1.8</v>
      </c>
      <c r="F578" s="252"/>
      <c r="G578" s="254" t="str">
        <f t="shared" si="98"/>
        <v>-</v>
      </c>
      <c r="H578" s="254" t="str">
        <f t="shared" si="98"/>
        <v>-</v>
      </c>
      <c r="I578" s="254" t="str">
        <f t="shared" si="98"/>
        <v>-</v>
      </c>
      <c r="J578" s="254" t="str">
        <f t="shared" si="98"/>
        <v>-</v>
      </c>
      <c r="K578" s="254" t="str">
        <f t="shared" si="98"/>
        <v>-</v>
      </c>
      <c r="L578" s="254" t="str">
        <f t="shared" si="98"/>
        <v>-</v>
      </c>
      <c r="M578" s="254" t="str">
        <f t="shared" si="98"/>
        <v>-</v>
      </c>
      <c r="N578" s="255"/>
    </row>
    <row r="579" spans="1:14" s="256" customFormat="1" hidden="1" outlineLevel="2">
      <c r="A579" s="178"/>
      <c r="B579" s="252" t="s">
        <v>196</v>
      </c>
      <c r="C579" s="253" t="s">
        <v>173</v>
      </c>
      <c r="D579" s="173">
        <v>1</v>
      </c>
      <c r="E579" s="252">
        <f>8.3-E580</f>
        <v>7.94</v>
      </c>
      <c r="F579" s="252"/>
      <c r="G579" s="254" t="str">
        <f t="shared" si="98"/>
        <v>-</v>
      </c>
      <c r="H579" s="254" t="str">
        <f t="shared" si="98"/>
        <v>-</v>
      </c>
      <c r="I579" s="254">
        <f t="shared" si="98"/>
        <v>7.94</v>
      </c>
      <c r="J579" s="254" t="str">
        <f t="shared" si="98"/>
        <v>-</v>
      </c>
      <c r="K579" s="254" t="str">
        <f t="shared" si="98"/>
        <v>-</v>
      </c>
      <c r="L579" s="254" t="str">
        <f t="shared" si="98"/>
        <v>-</v>
      </c>
      <c r="M579" s="254" t="str">
        <f t="shared" si="98"/>
        <v>-</v>
      </c>
      <c r="N579" s="255"/>
    </row>
    <row r="580" spans="1:14" s="256" customFormat="1" hidden="1" outlineLevel="2">
      <c r="A580" s="178"/>
      <c r="B580" s="252" t="s">
        <v>197</v>
      </c>
      <c r="C580" s="253" t="s">
        <v>175</v>
      </c>
      <c r="D580" s="173">
        <v>1</v>
      </c>
      <c r="E580" s="252">
        <f>0.3*0.6*2</f>
        <v>0.36</v>
      </c>
      <c r="F580" s="252"/>
      <c r="G580" s="254" t="str">
        <f t="shared" si="98"/>
        <v>-</v>
      </c>
      <c r="H580" s="254" t="str">
        <f t="shared" si="98"/>
        <v>-</v>
      </c>
      <c r="I580" s="254" t="str">
        <f t="shared" si="98"/>
        <v>-</v>
      </c>
      <c r="J580" s="254">
        <f t="shared" si="98"/>
        <v>0.36</v>
      </c>
      <c r="K580" s="254" t="str">
        <f t="shared" si="98"/>
        <v>-</v>
      </c>
      <c r="L580" s="254" t="str">
        <f t="shared" si="98"/>
        <v>-</v>
      </c>
      <c r="M580" s="254" t="str">
        <f t="shared" si="98"/>
        <v>-</v>
      </c>
      <c r="N580" s="255"/>
    </row>
    <row r="581" spans="1:14" s="256" customFormat="1" hidden="1" outlineLevel="2">
      <c r="A581" s="178"/>
      <c r="B581" s="252" t="s">
        <v>198</v>
      </c>
      <c r="C581" s="253" t="s">
        <v>174</v>
      </c>
      <c r="D581" s="173">
        <v>1</v>
      </c>
      <c r="E581" s="252">
        <v>12.6</v>
      </c>
      <c r="F581" s="252">
        <v>2.2999999999999998</v>
      </c>
      <c r="G581" s="254" t="str">
        <f t="shared" si="98"/>
        <v>-</v>
      </c>
      <c r="H581" s="254" t="str">
        <f t="shared" si="98"/>
        <v>-</v>
      </c>
      <c r="I581" s="254" t="str">
        <f t="shared" si="98"/>
        <v>-</v>
      </c>
      <c r="J581" s="254" t="str">
        <f t="shared" si="98"/>
        <v>-</v>
      </c>
      <c r="K581" s="254" t="str">
        <f t="shared" si="98"/>
        <v>-</v>
      </c>
      <c r="L581" s="254" t="str">
        <f t="shared" si="98"/>
        <v>-</v>
      </c>
      <c r="M581" s="254" t="str">
        <f t="shared" si="98"/>
        <v>-</v>
      </c>
      <c r="N581" s="255"/>
    </row>
    <row r="582" spans="1:14" s="256" customFormat="1" hidden="1" outlineLevel="2">
      <c r="A582" s="178"/>
      <c r="B582" s="257" t="s">
        <v>199</v>
      </c>
      <c r="C582" s="253" t="s">
        <v>174</v>
      </c>
      <c r="D582" s="173">
        <v>-1</v>
      </c>
      <c r="E582" s="252">
        <v>1.5</v>
      </c>
      <c r="F582" s="252">
        <v>1.45</v>
      </c>
      <c r="G582" s="254" t="str">
        <f t="shared" si="98"/>
        <v>-</v>
      </c>
      <c r="H582" s="254" t="str">
        <f t="shared" si="98"/>
        <v>-</v>
      </c>
      <c r="I582" s="254" t="str">
        <f t="shared" si="98"/>
        <v>-</v>
      </c>
      <c r="J582" s="254" t="str">
        <f t="shared" si="98"/>
        <v>-</v>
      </c>
      <c r="K582" s="254" t="str">
        <f t="shared" si="98"/>
        <v>-</v>
      </c>
      <c r="L582" s="254" t="str">
        <f t="shared" si="98"/>
        <v>-</v>
      </c>
      <c r="M582" s="254" t="str">
        <f t="shared" si="98"/>
        <v>-</v>
      </c>
      <c r="N582" s="255"/>
    </row>
    <row r="583" spans="1:14" s="256" customFormat="1" hidden="1" outlineLevel="2">
      <c r="A583" s="178"/>
      <c r="B583" s="257" t="s">
        <v>200</v>
      </c>
      <c r="C583" s="253" t="s">
        <v>174</v>
      </c>
      <c r="D583" s="173">
        <v>-2</v>
      </c>
      <c r="E583" s="252">
        <v>1.1499999999999999</v>
      </c>
      <c r="F583" s="252">
        <v>0.55000000000000004</v>
      </c>
      <c r="G583" s="254" t="str">
        <f t="shared" si="98"/>
        <v>-</v>
      </c>
      <c r="H583" s="254" t="str">
        <f t="shared" si="98"/>
        <v>-</v>
      </c>
      <c r="I583" s="254" t="str">
        <f t="shared" si="98"/>
        <v>-</v>
      </c>
      <c r="J583" s="254" t="str">
        <f t="shared" si="98"/>
        <v>-</v>
      </c>
      <c r="K583" s="254" t="str">
        <f t="shared" si="98"/>
        <v>-</v>
      </c>
      <c r="L583" s="254" t="str">
        <f t="shared" si="98"/>
        <v>-</v>
      </c>
      <c r="M583" s="254" t="str">
        <f t="shared" si="98"/>
        <v>-</v>
      </c>
      <c r="N583" s="255"/>
    </row>
    <row r="584" spans="1:14" s="256" customFormat="1" hidden="1" outlineLevel="2">
      <c r="A584" s="178"/>
      <c r="B584" s="258" t="s">
        <v>201</v>
      </c>
      <c r="C584" s="253" t="s">
        <v>174</v>
      </c>
      <c r="D584" s="173">
        <v>1</v>
      </c>
      <c r="E584" s="252">
        <v>1.9</v>
      </c>
      <c r="F584" s="252">
        <v>0.25</v>
      </c>
      <c r="G584" s="254" t="str">
        <f t="shared" si="98"/>
        <v>-</v>
      </c>
      <c r="H584" s="254" t="str">
        <f t="shared" si="98"/>
        <v>-</v>
      </c>
      <c r="I584" s="254" t="str">
        <f t="shared" si="98"/>
        <v>-</v>
      </c>
      <c r="J584" s="254" t="str">
        <f t="shared" si="98"/>
        <v>-</v>
      </c>
      <c r="K584" s="254" t="str">
        <f t="shared" si="98"/>
        <v>-</v>
      </c>
      <c r="L584" s="254" t="str">
        <f t="shared" si="98"/>
        <v>-</v>
      </c>
      <c r="M584" s="254" t="str">
        <f t="shared" si="98"/>
        <v>-</v>
      </c>
      <c r="N584" s="255"/>
    </row>
    <row r="585" spans="1:14" s="256" customFormat="1" hidden="1" outlineLevel="2">
      <c r="A585" s="178"/>
      <c r="B585" s="252" t="s">
        <v>202</v>
      </c>
      <c r="C585" s="253" t="s">
        <v>176</v>
      </c>
      <c r="D585" s="173">
        <v>1</v>
      </c>
      <c r="E585" s="252">
        <v>1.9</v>
      </c>
      <c r="F585" s="252">
        <v>1.1499999999999999</v>
      </c>
      <c r="G585" s="254" t="str">
        <f t="shared" si="98"/>
        <v>-</v>
      </c>
      <c r="H585" s="254" t="str">
        <f t="shared" si="98"/>
        <v>-</v>
      </c>
      <c r="I585" s="254" t="str">
        <f t="shared" si="98"/>
        <v>-</v>
      </c>
      <c r="J585" s="254" t="str">
        <f t="shared" si="98"/>
        <v>-</v>
      </c>
      <c r="K585" s="254" t="str">
        <f t="shared" si="98"/>
        <v>-</v>
      </c>
      <c r="L585" s="254" t="str">
        <f t="shared" si="98"/>
        <v>-</v>
      </c>
      <c r="M585" s="254" t="str">
        <f t="shared" si="98"/>
        <v>-</v>
      </c>
      <c r="N585" s="255"/>
    </row>
    <row r="586" spans="1:14" s="256" customFormat="1" hidden="1" outlineLevel="2">
      <c r="A586" s="178"/>
      <c r="B586" s="257" t="s">
        <v>203</v>
      </c>
      <c r="C586" s="253" t="s">
        <v>176</v>
      </c>
      <c r="D586" s="173">
        <v>-1</v>
      </c>
      <c r="E586" s="252">
        <v>1.7</v>
      </c>
      <c r="F586" s="252">
        <v>0.8</v>
      </c>
      <c r="G586" s="254" t="str">
        <f t="shared" si="98"/>
        <v>-</v>
      </c>
      <c r="H586" s="254" t="str">
        <f t="shared" si="98"/>
        <v>-</v>
      </c>
      <c r="I586" s="254" t="str">
        <f t="shared" si="98"/>
        <v>-</v>
      </c>
      <c r="J586" s="254" t="str">
        <f t="shared" si="98"/>
        <v>-</v>
      </c>
      <c r="K586" s="254" t="str">
        <f t="shared" si="98"/>
        <v>-</v>
      </c>
      <c r="L586" s="254" t="str">
        <f t="shared" si="98"/>
        <v>-</v>
      </c>
      <c r="M586" s="254" t="str">
        <f t="shared" si="98"/>
        <v>-</v>
      </c>
      <c r="N586" s="255"/>
    </row>
    <row r="587" spans="1:14" s="256" customFormat="1" hidden="1" outlineLevel="2">
      <c r="A587" s="259"/>
      <c r="B587" s="252"/>
      <c r="C587" s="253"/>
      <c r="D587" s="173"/>
      <c r="E587" s="252"/>
      <c r="F587" s="252"/>
      <c r="G587" s="254" t="str">
        <f t="shared" si="98"/>
        <v>-</v>
      </c>
      <c r="H587" s="254" t="str">
        <f t="shared" si="98"/>
        <v>-</v>
      </c>
      <c r="I587" s="254" t="str">
        <f t="shared" si="98"/>
        <v>-</v>
      </c>
      <c r="J587" s="254" t="str">
        <f t="shared" si="98"/>
        <v>-</v>
      </c>
      <c r="K587" s="254" t="str">
        <f t="shared" si="98"/>
        <v>-</v>
      </c>
      <c r="L587" s="254" t="str">
        <f t="shared" si="98"/>
        <v>-</v>
      </c>
      <c r="M587" s="254" t="str">
        <f t="shared" si="98"/>
        <v>-</v>
      </c>
      <c r="N587" s="255"/>
    </row>
    <row r="588" spans="1:14" s="251" customFormat="1" ht="15" hidden="1" outlineLevel="1" collapsed="1">
      <c r="A588" s="245"/>
      <c r="B588" s="246" t="s">
        <v>260</v>
      </c>
      <c r="C588" s="245"/>
      <c r="D588" s="247">
        <v>1</v>
      </c>
      <c r="E588" s="248"/>
      <c r="F588" s="248"/>
      <c r="G588" s="249">
        <f t="shared" ref="G588:M588" si="99">SUBTOTAL(9,G589:G603)</f>
        <v>25.3</v>
      </c>
      <c r="H588" s="249">
        <f t="shared" si="99"/>
        <v>0</v>
      </c>
      <c r="I588" s="249">
        <f t="shared" si="99"/>
        <v>7.02</v>
      </c>
      <c r="J588" s="249">
        <f t="shared" si="99"/>
        <v>0.36</v>
      </c>
      <c r="K588" s="249">
        <f t="shared" si="99"/>
        <v>0</v>
      </c>
      <c r="L588" s="249">
        <f t="shared" si="99"/>
        <v>0</v>
      </c>
      <c r="M588" s="249">
        <f t="shared" si="99"/>
        <v>0</v>
      </c>
      <c r="N588" s="250"/>
    </row>
    <row r="589" spans="1:14" s="256" customFormat="1" hidden="1" outlineLevel="2">
      <c r="A589" s="178"/>
      <c r="B589" s="252" t="s">
        <v>189</v>
      </c>
      <c r="C589" s="253" t="s">
        <v>169</v>
      </c>
      <c r="D589" s="173">
        <v>1</v>
      </c>
      <c r="E589" s="252">
        <v>25.3</v>
      </c>
      <c r="F589" s="252"/>
      <c r="G589" s="254">
        <f t="shared" si="98"/>
        <v>25.3</v>
      </c>
      <c r="H589" s="254" t="str">
        <f t="shared" si="98"/>
        <v>-</v>
      </c>
      <c r="I589" s="254" t="str">
        <f t="shared" si="98"/>
        <v>-</v>
      </c>
      <c r="J589" s="254" t="str">
        <f t="shared" si="98"/>
        <v>-</v>
      </c>
      <c r="K589" s="254" t="str">
        <f t="shared" si="98"/>
        <v>-</v>
      </c>
      <c r="L589" s="254" t="str">
        <f t="shared" si="98"/>
        <v>-</v>
      </c>
      <c r="M589" s="254" t="str">
        <f t="shared" si="98"/>
        <v>-</v>
      </c>
      <c r="N589" s="255"/>
    </row>
    <row r="590" spans="1:14" s="256" customFormat="1" hidden="1" outlineLevel="2">
      <c r="A590" s="178"/>
      <c r="B590" s="252" t="s">
        <v>190</v>
      </c>
      <c r="C590" s="253" t="s">
        <v>170</v>
      </c>
      <c r="D590" s="173">
        <v>1</v>
      </c>
      <c r="E590" s="252">
        <v>27.8</v>
      </c>
      <c r="F590" s="252"/>
      <c r="G590" s="254" t="str">
        <f t="shared" si="98"/>
        <v>-</v>
      </c>
      <c r="H590" s="254" t="str">
        <f t="shared" si="98"/>
        <v>-</v>
      </c>
      <c r="I590" s="254" t="str">
        <f t="shared" si="98"/>
        <v>-</v>
      </c>
      <c r="J590" s="254" t="str">
        <f t="shared" si="98"/>
        <v>-</v>
      </c>
      <c r="K590" s="254" t="str">
        <f t="shared" si="98"/>
        <v>-</v>
      </c>
      <c r="L590" s="254" t="str">
        <f t="shared" si="98"/>
        <v>-</v>
      </c>
      <c r="M590" s="254" t="str">
        <f t="shared" si="98"/>
        <v>-</v>
      </c>
      <c r="N590" s="255"/>
    </row>
    <row r="591" spans="1:14" s="256" customFormat="1" hidden="1" outlineLevel="2">
      <c r="A591" s="178"/>
      <c r="B591" s="257" t="s">
        <v>191</v>
      </c>
      <c r="C591" s="253" t="s">
        <v>170</v>
      </c>
      <c r="D591" s="173">
        <v>-2</v>
      </c>
      <c r="E591" s="252">
        <v>0.8</v>
      </c>
      <c r="F591" s="252"/>
      <c r="G591" s="254" t="str">
        <f t="shared" si="98"/>
        <v>-</v>
      </c>
      <c r="H591" s="254" t="str">
        <f t="shared" si="98"/>
        <v>-</v>
      </c>
      <c r="I591" s="254" t="str">
        <f t="shared" si="98"/>
        <v>-</v>
      </c>
      <c r="J591" s="254" t="str">
        <f t="shared" si="98"/>
        <v>-</v>
      </c>
      <c r="K591" s="254" t="str">
        <f t="shared" si="98"/>
        <v>-</v>
      </c>
      <c r="L591" s="254" t="str">
        <f t="shared" si="98"/>
        <v>-</v>
      </c>
      <c r="M591" s="254" t="str">
        <f t="shared" si="98"/>
        <v>-</v>
      </c>
      <c r="N591" s="255"/>
    </row>
    <row r="592" spans="1:14" s="256" customFormat="1" hidden="1" outlineLevel="2">
      <c r="A592" s="178"/>
      <c r="B592" s="257" t="s">
        <v>195</v>
      </c>
      <c r="C592" s="253" t="s">
        <v>170</v>
      </c>
      <c r="D592" s="173">
        <v>-1</v>
      </c>
      <c r="E592" s="252">
        <v>2.8</v>
      </c>
      <c r="F592" s="252"/>
      <c r="G592" s="254" t="str">
        <f t="shared" ref="G592:M603" si="100">IF($C592=G$5,PRODUCT($D592:$F592),"-")</f>
        <v>-</v>
      </c>
      <c r="H592" s="254" t="str">
        <f t="shared" si="100"/>
        <v>-</v>
      </c>
      <c r="I592" s="254" t="str">
        <f t="shared" si="100"/>
        <v>-</v>
      </c>
      <c r="J592" s="254" t="str">
        <f t="shared" si="100"/>
        <v>-</v>
      </c>
      <c r="K592" s="254" t="str">
        <f t="shared" si="100"/>
        <v>-</v>
      </c>
      <c r="L592" s="254" t="str">
        <f t="shared" si="100"/>
        <v>-</v>
      </c>
      <c r="M592" s="254" t="str">
        <f t="shared" si="100"/>
        <v>-</v>
      </c>
      <c r="N592" s="255"/>
    </row>
    <row r="593" spans="1:14" s="256" customFormat="1" hidden="1" outlineLevel="2">
      <c r="A593" s="178"/>
      <c r="B593" s="257" t="s">
        <v>192</v>
      </c>
      <c r="C593" s="253" t="s">
        <v>170</v>
      </c>
      <c r="D593" s="173">
        <v>-1</v>
      </c>
      <c r="E593" s="252">
        <v>2.8</v>
      </c>
      <c r="F593" s="252"/>
      <c r="G593" s="254" t="str">
        <f t="shared" si="100"/>
        <v>-</v>
      </c>
      <c r="H593" s="254" t="str">
        <f t="shared" si="100"/>
        <v>-</v>
      </c>
      <c r="I593" s="254" t="str">
        <f t="shared" si="100"/>
        <v>-</v>
      </c>
      <c r="J593" s="254" t="str">
        <f t="shared" si="100"/>
        <v>-</v>
      </c>
      <c r="K593" s="254" t="str">
        <f t="shared" si="100"/>
        <v>-</v>
      </c>
      <c r="L593" s="254" t="str">
        <f t="shared" si="100"/>
        <v>-</v>
      </c>
      <c r="M593" s="254" t="str">
        <f t="shared" si="100"/>
        <v>-</v>
      </c>
      <c r="N593" s="255"/>
    </row>
    <row r="594" spans="1:14" s="256" customFormat="1" hidden="1" outlineLevel="2">
      <c r="A594" s="178"/>
      <c r="B594" s="252" t="s">
        <v>196</v>
      </c>
      <c r="C594" s="253" t="s">
        <v>173</v>
      </c>
      <c r="D594" s="173">
        <v>1</v>
      </c>
      <c r="E594" s="252">
        <f>8.1-E595*3</f>
        <v>7.02</v>
      </c>
      <c r="F594" s="252"/>
      <c r="G594" s="254" t="str">
        <f t="shared" si="100"/>
        <v>-</v>
      </c>
      <c r="H594" s="254" t="str">
        <f t="shared" si="100"/>
        <v>-</v>
      </c>
      <c r="I594" s="254">
        <f t="shared" si="100"/>
        <v>7.02</v>
      </c>
      <c r="J594" s="254" t="str">
        <f t="shared" si="100"/>
        <v>-</v>
      </c>
      <c r="K594" s="254" t="str">
        <f t="shared" si="100"/>
        <v>-</v>
      </c>
      <c r="L594" s="254" t="str">
        <f t="shared" si="100"/>
        <v>-</v>
      </c>
      <c r="M594" s="254" t="str">
        <f t="shared" si="100"/>
        <v>-</v>
      </c>
      <c r="N594" s="255"/>
    </row>
    <row r="595" spans="1:14" s="256" customFormat="1" hidden="1" outlineLevel="2">
      <c r="A595" s="178"/>
      <c r="B595" s="252" t="s">
        <v>197</v>
      </c>
      <c r="C595" s="253" t="s">
        <v>175</v>
      </c>
      <c r="D595" s="173">
        <v>1</v>
      </c>
      <c r="E595" s="252">
        <f>0.3*0.6*2</f>
        <v>0.36</v>
      </c>
      <c r="F595" s="252"/>
      <c r="G595" s="254" t="str">
        <f t="shared" si="100"/>
        <v>-</v>
      </c>
      <c r="H595" s="254" t="str">
        <f t="shared" si="100"/>
        <v>-</v>
      </c>
      <c r="I595" s="254" t="str">
        <f t="shared" si="100"/>
        <v>-</v>
      </c>
      <c r="J595" s="254">
        <f t="shared" si="100"/>
        <v>0.36</v>
      </c>
      <c r="K595" s="254" t="str">
        <f t="shared" si="100"/>
        <v>-</v>
      </c>
      <c r="L595" s="254" t="str">
        <f t="shared" si="100"/>
        <v>-</v>
      </c>
      <c r="M595" s="254" t="str">
        <f t="shared" si="100"/>
        <v>-</v>
      </c>
      <c r="N595" s="255"/>
    </row>
    <row r="596" spans="1:14" s="256" customFormat="1" hidden="1" outlineLevel="2">
      <c r="A596" s="178"/>
      <c r="B596" s="252" t="s">
        <v>198</v>
      </c>
      <c r="C596" s="253" t="s">
        <v>174</v>
      </c>
      <c r="D596" s="173">
        <v>1</v>
      </c>
      <c r="E596" s="252">
        <v>17.2</v>
      </c>
      <c r="F596" s="252">
        <v>2.2999999999999998</v>
      </c>
      <c r="G596" s="254" t="str">
        <f t="shared" si="100"/>
        <v>-</v>
      </c>
      <c r="H596" s="254" t="str">
        <f t="shared" si="100"/>
        <v>-</v>
      </c>
      <c r="I596" s="254" t="str">
        <f t="shared" si="100"/>
        <v>-</v>
      </c>
      <c r="J596" s="254" t="str">
        <f t="shared" si="100"/>
        <v>-</v>
      </c>
      <c r="K596" s="254" t="str">
        <f t="shared" si="100"/>
        <v>-</v>
      </c>
      <c r="L596" s="254" t="str">
        <f t="shared" si="100"/>
        <v>-</v>
      </c>
      <c r="M596" s="254" t="str">
        <f t="shared" si="100"/>
        <v>-</v>
      </c>
      <c r="N596" s="255"/>
    </row>
    <row r="597" spans="1:14" s="256" customFormat="1" hidden="1" outlineLevel="2">
      <c r="A597" s="178"/>
      <c r="B597" s="257" t="s">
        <v>212</v>
      </c>
      <c r="C597" s="253" t="s">
        <v>174</v>
      </c>
      <c r="D597" s="173">
        <v>-1</v>
      </c>
      <c r="E597" s="252">
        <v>0.8</v>
      </c>
      <c r="F597" s="252">
        <v>2.2200000000000002</v>
      </c>
      <c r="G597" s="254" t="str">
        <f t="shared" si="100"/>
        <v>-</v>
      </c>
      <c r="H597" s="254" t="str">
        <f t="shared" si="100"/>
        <v>-</v>
      </c>
      <c r="I597" s="254" t="str">
        <f t="shared" si="100"/>
        <v>-</v>
      </c>
      <c r="J597" s="254" t="str">
        <f t="shared" si="100"/>
        <v>-</v>
      </c>
      <c r="K597" s="254" t="str">
        <f t="shared" si="100"/>
        <v>-</v>
      </c>
      <c r="L597" s="254" t="str">
        <f t="shared" si="100"/>
        <v>-</v>
      </c>
      <c r="M597" s="254" t="str">
        <f t="shared" si="100"/>
        <v>-</v>
      </c>
      <c r="N597" s="255"/>
    </row>
    <row r="598" spans="1:14" s="256" customFormat="1" hidden="1" outlineLevel="2">
      <c r="A598" s="178"/>
      <c r="B598" s="257" t="s">
        <v>199</v>
      </c>
      <c r="C598" s="253" t="s">
        <v>174</v>
      </c>
      <c r="D598" s="173">
        <v>-1</v>
      </c>
      <c r="E598" s="252">
        <v>1.65</v>
      </c>
      <c r="F598" s="252">
        <v>1.7</v>
      </c>
      <c r="G598" s="254" t="str">
        <f t="shared" si="100"/>
        <v>-</v>
      </c>
      <c r="H598" s="254" t="str">
        <f t="shared" si="100"/>
        <v>-</v>
      </c>
      <c r="I598" s="254" t="str">
        <f t="shared" si="100"/>
        <v>-</v>
      </c>
      <c r="J598" s="254" t="str">
        <f t="shared" si="100"/>
        <v>-</v>
      </c>
      <c r="K598" s="254" t="str">
        <f t="shared" si="100"/>
        <v>-</v>
      </c>
      <c r="L598" s="254" t="str">
        <f t="shared" si="100"/>
        <v>-</v>
      </c>
      <c r="M598" s="254" t="str">
        <f t="shared" si="100"/>
        <v>-</v>
      </c>
      <c r="N598" s="255"/>
    </row>
    <row r="599" spans="1:14" s="256" customFormat="1" hidden="1" outlineLevel="2">
      <c r="A599" s="178"/>
      <c r="B599" s="257" t="s">
        <v>200</v>
      </c>
      <c r="C599" s="253" t="s">
        <v>174</v>
      </c>
      <c r="D599" s="173">
        <v>-2</v>
      </c>
      <c r="E599" s="252">
        <v>1.1499999999999999</v>
      </c>
      <c r="F599" s="252">
        <v>0.55000000000000004</v>
      </c>
      <c r="G599" s="254" t="str">
        <f t="shared" si="100"/>
        <v>-</v>
      </c>
      <c r="H599" s="254" t="str">
        <f t="shared" si="100"/>
        <v>-</v>
      </c>
      <c r="I599" s="254" t="str">
        <f t="shared" si="100"/>
        <v>-</v>
      </c>
      <c r="J599" s="254" t="str">
        <f t="shared" si="100"/>
        <v>-</v>
      </c>
      <c r="K599" s="254" t="str">
        <f t="shared" si="100"/>
        <v>-</v>
      </c>
      <c r="L599" s="254" t="str">
        <f t="shared" si="100"/>
        <v>-</v>
      </c>
      <c r="M599" s="254" t="str">
        <f t="shared" si="100"/>
        <v>-</v>
      </c>
      <c r="N599" s="255"/>
    </row>
    <row r="600" spans="1:14" s="256" customFormat="1" hidden="1" outlineLevel="2">
      <c r="A600" s="178"/>
      <c r="B600" s="258" t="s">
        <v>201</v>
      </c>
      <c r="C600" s="253" t="s">
        <v>174</v>
      </c>
      <c r="D600" s="173">
        <v>1</v>
      </c>
      <c r="E600" s="252">
        <v>1.95</v>
      </c>
      <c r="F600" s="252">
        <v>0.25</v>
      </c>
      <c r="G600" s="254" t="str">
        <f t="shared" si="100"/>
        <v>-</v>
      </c>
      <c r="H600" s="254" t="str">
        <f t="shared" si="100"/>
        <v>-</v>
      </c>
      <c r="I600" s="254" t="str">
        <f t="shared" si="100"/>
        <v>-</v>
      </c>
      <c r="J600" s="254" t="str">
        <f t="shared" si="100"/>
        <v>-</v>
      </c>
      <c r="K600" s="254" t="str">
        <f t="shared" si="100"/>
        <v>-</v>
      </c>
      <c r="L600" s="254" t="str">
        <f t="shared" si="100"/>
        <v>-</v>
      </c>
      <c r="M600" s="254" t="str">
        <f t="shared" si="100"/>
        <v>-</v>
      </c>
      <c r="N600" s="255"/>
    </row>
    <row r="601" spans="1:14" s="256" customFormat="1" hidden="1" outlineLevel="2">
      <c r="A601" s="178"/>
      <c r="B601" s="252" t="s">
        <v>202</v>
      </c>
      <c r="C601" s="253" t="s">
        <v>176</v>
      </c>
      <c r="D601" s="173">
        <v>1</v>
      </c>
      <c r="E601" s="252">
        <v>1.95</v>
      </c>
      <c r="F601" s="252">
        <v>1.1499999999999999</v>
      </c>
      <c r="G601" s="254" t="str">
        <f t="shared" si="100"/>
        <v>-</v>
      </c>
      <c r="H601" s="254" t="str">
        <f t="shared" si="100"/>
        <v>-</v>
      </c>
      <c r="I601" s="254" t="str">
        <f t="shared" si="100"/>
        <v>-</v>
      </c>
      <c r="J601" s="254" t="str">
        <f t="shared" si="100"/>
        <v>-</v>
      </c>
      <c r="K601" s="254" t="str">
        <f t="shared" si="100"/>
        <v>-</v>
      </c>
      <c r="L601" s="254" t="str">
        <f t="shared" si="100"/>
        <v>-</v>
      </c>
      <c r="M601" s="254" t="str">
        <f t="shared" si="100"/>
        <v>-</v>
      </c>
      <c r="N601" s="255"/>
    </row>
    <row r="602" spans="1:14" s="256" customFormat="1" hidden="1" outlineLevel="2">
      <c r="A602" s="178"/>
      <c r="B602" s="257" t="s">
        <v>203</v>
      </c>
      <c r="C602" s="253" t="s">
        <v>176</v>
      </c>
      <c r="D602" s="173">
        <v>-1</v>
      </c>
      <c r="E602" s="252">
        <v>1.65</v>
      </c>
      <c r="F602" s="252">
        <v>0.7</v>
      </c>
      <c r="G602" s="254" t="str">
        <f t="shared" si="100"/>
        <v>-</v>
      </c>
      <c r="H602" s="254" t="str">
        <f t="shared" si="100"/>
        <v>-</v>
      </c>
      <c r="I602" s="254" t="str">
        <f t="shared" si="100"/>
        <v>-</v>
      </c>
      <c r="J602" s="254" t="str">
        <f t="shared" si="100"/>
        <v>-</v>
      </c>
      <c r="K602" s="254" t="str">
        <f t="shared" si="100"/>
        <v>-</v>
      </c>
      <c r="L602" s="254" t="str">
        <f t="shared" si="100"/>
        <v>-</v>
      </c>
      <c r="M602" s="254" t="str">
        <f t="shared" si="100"/>
        <v>-</v>
      </c>
      <c r="N602" s="255"/>
    </row>
    <row r="603" spans="1:14" s="256" customFormat="1" hidden="1" outlineLevel="2">
      <c r="A603" s="259"/>
      <c r="B603" s="252"/>
      <c r="C603" s="253"/>
      <c r="D603" s="173"/>
      <c r="E603" s="252"/>
      <c r="F603" s="252"/>
      <c r="G603" s="254" t="str">
        <f t="shared" si="100"/>
        <v>-</v>
      </c>
      <c r="H603" s="254" t="str">
        <f t="shared" si="100"/>
        <v>-</v>
      </c>
      <c r="I603" s="254" t="str">
        <f t="shared" si="100"/>
        <v>-</v>
      </c>
      <c r="J603" s="254" t="str">
        <f t="shared" si="100"/>
        <v>-</v>
      </c>
      <c r="K603" s="254" t="str">
        <f t="shared" si="100"/>
        <v>-</v>
      </c>
      <c r="L603" s="254" t="str">
        <f t="shared" si="100"/>
        <v>-</v>
      </c>
      <c r="M603" s="254" t="str">
        <f t="shared" si="100"/>
        <v>-</v>
      </c>
      <c r="N603" s="255"/>
    </row>
    <row r="604" spans="1:14" s="251" customFormat="1" ht="15" hidden="1" outlineLevel="1" collapsed="1">
      <c r="A604" s="245"/>
      <c r="B604" s="246" t="s">
        <v>281</v>
      </c>
      <c r="C604" s="245"/>
      <c r="D604" s="247">
        <v>1</v>
      </c>
      <c r="E604" s="248"/>
      <c r="F604" s="248"/>
      <c r="G604" s="249">
        <f t="shared" ref="G604:M604" si="101">SUBTOTAL(9,G605:G624)</f>
        <v>24.3</v>
      </c>
      <c r="H604" s="249">
        <f t="shared" si="101"/>
        <v>2.5</v>
      </c>
      <c r="I604" s="249">
        <f t="shared" si="101"/>
        <v>40.840000000000003</v>
      </c>
      <c r="J604" s="249">
        <f t="shared" si="101"/>
        <v>2.16</v>
      </c>
      <c r="K604" s="249">
        <f t="shared" si="101"/>
        <v>0</v>
      </c>
      <c r="L604" s="249">
        <f t="shared" si="101"/>
        <v>0</v>
      </c>
      <c r="M604" s="249">
        <f t="shared" si="101"/>
        <v>0</v>
      </c>
      <c r="N604" s="250"/>
    </row>
    <row r="605" spans="1:14" s="256" customFormat="1" hidden="1" outlineLevel="2">
      <c r="A605" s="178"/>
      <c r="B605" s="252" t="s">
        <v>189</v>
      </c>
      <c r="C605" s="253" t="s">
        <v>169</v>
      </c>
      <c r="D605" s="173">
        <v>1</v>
      </c>
      <c r="E605" s="252">
        <v>24.3</v>
      </c>
      <c r="F605" s="252"/>
      <c r="G605" s="254">
        <f t="shared" ref="G605:M624" si="102">IF($C605=G$5,PRODUCT($D605:$F605),"-")</f>
        <v>24.3</v>
      </c>
      <c r="H605" s="254" t="str">
        <f t="shared" si="102"/>
        <v>-</v>
      </c>
      <c r="I605" s="254" t="str">
        <f t="shared" si="102"/>
        <v>-</v>
      </c>
      <c r="J605" s="254" t="str">
        <f t="shared" si="102"/>
        <v>-</v>
      </c>
      <c r="K605" s="254" t="str">
        <f t="shared" si="102"/>
        <v>-</v>
      </c>
      <c r="L605" s="254" t="str">
        <f t="shared" si="102"/>
        <v>-</v>
      </c>
      <c r="M605" s="254" t="str">
        <f t="shared" si="102"/>
        <v>-</v>
      </c>
      <c r="N605" s="255"/>
    </row>
    <row r="606" spans="1:14" s="256" customFormat="1" hidden="1" outlineLevel="2">
      <c r="A606" s="178"/>
      <c r="B606" s="252" t="s">
        <v>190</v>
      </c>
      <c r="C606" s="253" t="s">
        <v>170</v>
      </c>
      <c r="D606" s="173">
        <v>1</v>
      </c>
      <c r="E606" s="252">
        <v>24.1</v>
      </c>
      <c r="F606" s="252"/>
      <c r="G606" s="254" t="str">
        <f t="shared" si="102"/>
        <v>-</v>
      </c>
      <c r="H606" s="254" t="str">
        <f t="shared" si="102"/>
        <v>-</v>
      </c>
      <c r="I606" s="254" t="str">
        <f t="shared" si="102"/>
        <v>-</v>
      </c>
      <c r="J606" s="254" t="str">
        <f t="shared" si="102"/>
        <v>-</v>
      </c>
      <c r="K606" s="254" t="str">
        <f t="shared" si="102"/>
        <v>-</v>
      </c>
      <c r="L606" s="254" t="str">
        <f t="shared" si="102"/>
        <v>-</v>
      </c>
      <c r="M606" s="254" t="str">
        <f t="shared" si="102"/>
        <v>-</v>
      </c>
      <c r="N606" s="255"/>
    </row>
    <row r="607" spans="1:14" s="256" customFormat="1" hidden="1" outlineLevel="2">
      <c r="A607" s="178"/>
      <c r="B607" s="257" t="s">
        <v>191</v>
      </c>
      <c r="C607" s="253" t="s">
        <v>170</v>
      </c>
      <c r="D607" s="173">
        <v>-2</v>
      </c>
      <c r="E607" s="252">
        <v>0.8</v>
      </c>
      <c r="F607" s="252"/>
      <c r="G607" s="254" t="str">
        <f t="shared" si="102"/>
        <v>-</v>
      </c>
      <c r="H607" s="254" t="str">
        <f t="shared" si="102"/>
        <v>-</v>
      </c>
      <c r="I607" s="254" t="str">
        <f t="shared" si="102"/>
        <v>-</v>
      </c>
      <c r="J607" s="254" t="str">
        <f t="shared" si="102"/>
        <v>-</v>
      </c>
      <c r="K607" s="254" t="str">
        <f t="shared" si="102"/>
        <v>-</v>
      </c>
      <c r="L607" s="254" t="str">
        <f t="shared" si="102"/>
        <v>-</v>
      </c>
      <c r="M607" s="254" t="str">
        <f t="shared" si="102"/>
        <v>-</v>
      </c>
      <c r="N607" s="255"/>
    </row>
    <row r="608" spans="1:14" s="256" customFormat="1" hidden="1" outlineLevel="2">
      <c r="A608" s="178"/>
      <c r="B608" s="257" t="s">
        <v>192</v>
      </c>
      <c r="C608" s="253" t="s">
        <v>170</v>
      </c>
      <c r="D608" s="173">
        <v>-1</v>
      </c>
      <c r="E608" s="252">
        <v>2.8</v>
      </c>
      <c r="F608" s="252"/>
      <c r="G608" s="254" t="str">
        <f t="shared" si="102"/>
        <v>-</v>
      </c>
      <c r="H608" s="254" t="str">
        <f t="shared" si="102"/>
        <v>-</v>
      </c>
      <c r="I608" s="254" t="str">
        <f t="shared" si="102"/>
        <v>-</v>
      </c>
      <c r="J608" s="254" t="str">
        <f t="shared" si="102"/>
        <v>-</v>
      </c>
      <c r="K608" s="254" t="str">
        <f t="shared" si="102"/>
        <v>-</v>
      </c>
      <c r="L608" s="254" t="str">
        <f t="shared" si="102"/>
        <v>-</v>
      </c>
      <c r="M608" s="254" t="str">
        <f t="shared" si="102"/>
        <v>-</v>
      </c>
      <c r="N608" s="255"/>
    </row>
    <row r="609" spans="1:14" s="256" customFormat="1" hidden="1" outlineLevel="2">
      <c r="A609" s="178"/>
      <c r="B609" s="252" t="s">
        <v>193</v>
      </c>
      <c r="C609" s="253" t="s">
        <v>171</v>
      </c>
      <c r="D609" s="173">
        <v>1</v>
      </c>
      <c r="E609" s="252">
        <v>2.5</v>
      </c>
      <c r="F609" s="252"/>
      <c r="G609" s="254" t="str">
        <f t="shared" si="102"/>
        <v>-</v>
      </c>
      <c r="H609" s="254">
        <f t="shared" si="102"/>
        <v>2.5</v>
      </c>
      <c r="I609" s="254" t="str">
        <f t="shared" si="102"/>
        <v>-</v>
      </c>
      <c r="J609" s="254" t="str">
        <f t="shared" si="102"/>
        <v>-</v>
      </c>
      <c r="K609" s="254" t="str">
        <f t="shared" si="102"/>
        <v>-</v>
      </c>
      <c r="L609" s="254" t="str">
        <f t="shared" si="102"/>
        <v>-</v>
      </c>
      <c r="M609" s="254" t="str">
        <f t="shared" si="102"/>
        <v>-</v>
      </c>
      <c r="N609" s="255"/>
    </row>
    <row r="610" spans="1:14" s="256" customFormat="1" hidden="1" outlineLevel="2">
      <c r="A610" s="178"/>
      <c r="B610" s="252" t="s">
        <v>194</v>
      </c>
      <c r="C610" s="253" t="s">
        <v>172</v>
      </c>
      <c r="D610" s="173">
        <v>1</v>
      </c>
      <c r="E610" s="252">
        <v>7</v>
      </c>
      <c r="F610" s="252"/>
      <c r="G610" s="254" t="str">
        <f t="shared" si="102"/>
        <v>-</v>
      </c>
      <c r="H610" s="254" t="str">
        <f t="shared" si="102"/>
        <v>-</v>
      </c>
      <c r="I610" s="254" t="str">
        <f t="shared" si="102"/>
        <v>-</v>
      </c>
      <c r="J610" s="254" t="str">
        <f t="shared" si="102"/>
        <v>-</v>
      </c>
      <c r="K610" s="254" t="str">
        <f t="shared" si="102"/>
        <v>-</v>
      </c>
      <c r="L610" s="254" t="str">
        <f t="shared" si="102"/>
        <v>-</v>
      </c>
      <c r="M610" s="254" t="str">
        <f t="shared" si="102"/>
        <v>-</v>
      </c>
      <c r="N610" s="255"/>
    </row>
    <row r="611" spans="1:14" s="256" customFormat="1" hidden="1" outlineLevel="2">
      <c r="A611" s="178"/>
      <c r="B611" s="257" t="s">
        <v>191</v>
      </c>
      <c r="C611" s="253" t="s">
        <v>172</v>
      </c>
      <c r="D611" s="173">
        <v>-1</v>
      </c>
      <c r="E611" s="252">
        <v>0.8</v>
      </c>
      <c r="F611" s="252"/>
      <c r="G611" s="254" t="str">
        <f t="shared" si="102"/>
        <v>-</v>
      </c>
      <c r="H611" s="254" t="str">
        <f t="shared" si="102"/>
        <v>-</v>
      </c>
      <c r="I611" s="254" t="str">
        <f t="shared" si="102"/>
        <v>-</v>
      </c>
      <c r="J611" s="254" t="str">
        <f t="shared" si="102"/>
        <v>-</v>
      </c>
      <c r="K611" s="254" t="str">
        <f t="shared" si="102"/>
        <v>-</v>
      </c>
      <c r="L611" s="254" t="str">
        <f t="shared" si="102"/>
        <v>-</v>
      </c>
      <c r="M611" s="254" t="str">
        <f t="shared" si="102"/>
        <v>-</v>
      </c>
      <c r="N611" s="255"/>
    </row>
    <row r="612" spans="1:14" s="256" customFormat="1" hidden="1" outlineLevel="2">
      <c r="A612" s="178"/>
      <c r="B612" s="257" t="s">
        <v>195</v>
      </c>
      <c r="C612" s="253" t="s">
        <v>172</v>
      </c>
      <c r="D612" s="173">
        <v>-1</v>
      </c>
      <c r="E612" s="252">
        <v>2.6</v>
      </c>
      <c r="F612" s="252"/>
      <c r="G612" s="254" t="str">
        <f t="shared" si="102"/>
        <v>-</v>
      </c>
      <c r="H612" s="254" t="str">
        <f t="shared" si="102"/>
        <v>-</v>
      </c>
      <c r="I612" s="254" t="str">
        <f t="shared" si="102"/>
        <v>-</v>
      </c>
      <c r="J612" s="254" t="str">
        <f t="shared" si="102"/>
        <v>-</v>
      </c>
      <c r="K612" s="254" t="str">
        <f t="shared" si="102"/>
        <v>-</v>
      </c>
      <c r="L612" s="254" t="str">
        <f t="shared" si="102"/>
        <v>-</v>
      </c>
      <c r="M612" s="254" t="str">
        <f t="shared" si="102"/>
        <v>-</v>
      </c>
      <c r="N612" s="255"/>
    </row>
    <row r="613" spans="1:14" s="256" customFormat="1" hidden="1" outlineLevel="2">
      <c r="A613" s="178"/>
      <c r="B613" s="252" t="s">
        <v>196</v>
      </c>
      <c r="C613" s="253" t="s">
        <v>173</v>
      </c>
      <c r="D613" s="173">
        <v>1</v>
      </c>
      <c r="E613" s="252">
        <f>31+8+4-0.36*6</f>
        <v>40.840000000000003</v>
      </c>
      <c r="F613" s="252"/>
      <c r="G613" s="254" t="str">
        <f t="shared" si="102"/>
        <v>-</v>
      </c>
      <c r="H613" s="254" t="str">
        <f t="shared" si="102"/>
        <v>-</v>
      </c>
      <c r="I613" s="254">
        <f t="shared" si="102"/>
        <v>40.840000000000003</v>
      </c>
      <c r="J613" s="254" t="str">
        <f t="shared" si="102"/>
        <v>-</v>
      </c>
      <c r="K613" s="254" t="str">
        <f t="shared" si="102"/>
        <v>-</v>
      </c>
      <c r="L613" s="254" t="str">
        <f t="shared" si="102"/>
        <v>-</v>
      </c>
      <c r="M613" s="254" t="str">
        <f t="shared" si="102"/>
        <v>-</v>
      </c>
      <c r="N613" s="255"/>
    </row>
    <row r="614" spans="1:14" s="256" customFormat="1" hidden="1" outlineLevel="2">
      <c r="A614" s="178"/>
      <c r="B614" s="252" t="s">
        <v>197</v>
      </c>
      <c r="C614" s="253" t="s">
        <v>175</v>
      </c>
      <c r="D614" s="173">
        <v>6</v>
      </c>
      <c r="E614" s="252">
        <f>0.3*0.6*2</f>
        <v>0.36</v>
      </c>
      <c r="F614" s="252"/>
      <c r="G614" s="254" t="str">
        <f t="shared" si="102"/>
        <v>-</v>
      </c>
      <c r="H614" s="254" t="str">
        <f t="shared" si="102"/>
        <v>-</v>
      </c>
      <c r="I614" s="254" t="str">
        <f t="shared" si="102"/>
        <v>-</v>
      </c>
      <c r="J614" s="254">
        <f t="shared" si="102"/>
        <v>2.16</v>
      </c>
      <c r="K614" s="254" t="str">
        <f t="shared" si="102"/>
        <v>-</v>
      </c>
      <c r="L614" s="254" t="str">
        <f t="shared" si="102"/>
        <v>-</v>
      </c>
      <c r="M614" s="254" t="str">
        <f t="shared" si="102"/>
        <v>-</v>
      </c>
      <c r="N614" s="255"/>
    </row>
    <row r="615" spans="1:14" s="256" customFormat="1" hidden="1" outlineLevel="2">
      <c r="A615" s="178"/>
      <c r="B615" s="252" t="s">
        <v>198</v>
      </c>
      <c r="C615" s="253" t="s">
        <v>174</v>
      </c>
      <c r="D615" s="173">
        <v>1</v>
      </c>
      <c r="E615" s="252">
        <f>54.4</f>
        <v>54.4</v>
      </c>
      <c r="F615" s="252">
        <v>2.2999999999999998</v>
      </c>
      <c r="G615" s="254" t="str">
        <f t="shared" si="102"/>
        <v>-</v>
      </c>
      <c r="H615" s="254" t="str">
        <f t="shared" si="102"/>
        <v>-</v>
      </c>
      <c r="I615" s="254" t="str">
        <f t="shared" si="102"/>
        <v>-</v>
      </c>
      <c r="J615" s="254" t="str">
        <f t="shared" si="102"/>
        <v>-</v>
      </c>
      <c r="K615" s="254" t="str">
        <f t="shared" si="102"/>
        <v>-</v>
      </c>
      <c r="L615" s="254" t="str">
        <f t="shared" si="102"/>
        <v>-</v>
      </c>
      <c r="M615" s="254" t="str">
        <f t="shared" si="102"/>
        <v>-</v>
      </c>
      <c r="N615" s="255"/>
    </row>
    <row r="616" spans="1:14" s="256" customFormat="1" hidden="1" outlineLevel="2">
      <c r="A616" s="178"/>
      <c r="B616" s="257" t="s">
        <v>212</v>
      </c>
      <c r="C616" s="253" t="s">
        <v>174</v>
      </c>
      <c r="D616" s="173">
        <v>-1</v>
      </c>
      <c r="E616" s="252">
        <v>1</v>
      </c>
      <c r="F616" s="252">
        <v>2.2200000000000002</v>
      </c>
      <c r="G616" s="254" t="str">
        <f t="shared" si="102"/>
        <v>-</v>
      </c>
      <c r="H616" s="254" t="str">
        <f t="shared" si="102"/>
        <v>-</v>
      </c>
      <c r="I616" s="254" t="str">
        <f t="shared" si="102"/>
        <v>-</v>
      </c>
      <c r="J616" s="254" t="str">
        <f t="shared" si="102"/>
        <v>-</v>
      </c>
      <c r="K616" s="254" t="str">
        <f t="shared" si="102"/>
        <v>-</v>
      </c>
      <c r="L616" s="254" t="str">
        <f t="shared" si="102"/>
        <v>-</v>
      </c>
      <c r="M616" s="254" t="str">
        <f t="shared" si="102"/>
        <v>-</v>
      </c>
      <c r="N616" s="255"/>
    </row>
    <row r="617" spans="1:14" s="256" customFormat="1" hidden="1" outlineLevel="2">
      <c r="A617" s="178"/>
      <c r="B617" s="257" t="s">
        <v>212</v>
      </c>
      <c r="C617" s="253" t="s">
        <v>174</v>
      </c>
      <c r="D617" s="173">
        <v>-1</v>
      </c>
      <c r="E617" s="252">
        <v>0.8</v>
      </c>
      <c r="F617" s="252">
        <v>2.2200000000000002</v>
      </c>
      <c r="G617" s="254" t="str">
        <f t="shared" si="102"/>
        <v>-</v>
      </c>
      <c r="H617" s="254" t="str">
        <f t="shared" si="102"/>
        <v>-</v>
      </c>
      <c r="I617" s="254" t="str">
        <f t="shared" si="102"/>
        <v>-</v>
      </c>
      <c r="J617" s="254" t="str">
        <f t="shared" si="102"/>
        <v>-</v>
      </c>
      <c r="K617" s="254" t="str">
        <f t="shared" si="102"/>
        <v>-</v>
      </c>
      <c r="L617" s="254" t="str">
        <f t="shared" si="102"/>
        <v>-</v>
      </c>
      <c r="M617" s="254" t="str">
        <f t="shared" si="102"/>
        <v>-</v>
      </c>
      <c r="N617" s="255"/>
    </row>
    <row r="618" spans="1:14" s="256" customFormat="1" hidden="1" outlineLevel="2">
      <c r="A618" s="178"/>
      <c r="B618" s="257" t="s">
        <v>199</v>
      </c>
      <c r="C618" s="253" t="s">
        <v>174</v>
      </c>
      <c r="D618" s="173">
        <v>-1</v>
      </c>
      <c r="E618" s="252">
        <v>5.53</v>
      </c>
      <c r="F618" s="252">
        <v>1.7</v>
      </c>
      <c r="G618" s="254" t="str">
        <f t="shared" si="102"/>
        <v>-</v>
      </c>
      <c r="H618" s="254" t="str">
        <f t="shared" si="102"/>
        <v>-</v>
      </c>
      <c r="I618" s="254" t="str">
        <f t="shared" si="102"/>
        <v>-</v>
      </c>
      <c r="J618" s="254" t="str">
        <f t="shared" si="102"/>
        <v>-</v>
      </c>
      <c r="K618" s="254" t="str">
        <f t="shared" si="102"/>
        <v>-</v>
      </c>
      <c r="L618" s="254" t="str">
        <f t="shared" si="102"/>
        <v>-</v>
      </c>
      <c r="M618" s="254" t="str">
        <f t="shared" si="102"/>
        <v>-</v>
      </c>
      <c r="N618" s="255"/>
    </row>
    <row r="619" spans="1:14" s="256" customFormat="1" hidden="1" outlineLevel="2">
      <c r="A619" s="178"/>
      <c r="B619" s="257" t="s">
        <v>199</v>
      </c>
      <c r="C619" s="253" t="s">
        <v>174</v>
      </c>
      <c r="D619" s="173">
        <v>-1</v>
      </c>
      <c r="E619" s="252">
        <v>2.4500000000000002</v>
      </c>
      <c r="F619" s="252">
        <v>1.45</v>
      </c>
      <c r="G619" s="254" t="str">
        <f t="shared" si="102"/>
        <v>-</v>
      </c>
      <c r="H619" s="254" t="str">
        <f t="shared" si="102"/>
        <v>-</v>
      </c>
      <c r="I619" s="254" t="str">
        <f t="shared" si="102"/>
        <v>-</v>
      </c>
      <c r="J619" s="254" t="str">
        <f t="shared" si="102"/>
        <v>-</v>
      </c>
      <c r="K619" s="254" t="str">
        <f t="shared" si="102"/>
        <v>-</v>
      </c>
      <c r="L619" s="254" t="str">
        <f t="shared" si="102"/>
        <v>-</v>
      </c>
      <c r="M619" s="254" t="str">
        <f t="shared" si="102"/>
        <v>-</v>
      </c>
      <c r="N619" s="255"/>
    </row>
    <row r="620" spans="1:14" s="256" customFormat="1" hidden="1" outlineLevel="2">
      <c r="A620" s="178"/>
      <c r="B620" s="257" t="s">
        <v>200</v>
      </c>
      <c r="C620" s="253" t="s">
        <v>174</v>
      </c>
      <c r="D620" s="173">
        <v>-1</v>
      </c>
      <c r="E620" s="252">
        <f>14-6</f>
        <v>8</v>
      </c>
      <c r="F620" s="252">
        <v>0.55000000000000004</v>
      </c>
      <c r="G620" s="254" t="str">
        <f t="shared" si="102"/>
        <v>-</v>
      </c>
      <c r="H620" s="254" t="str">
        <f t="shared" si="102"/>
        <v>-</v>
      </c>
      <c r="I620" s="254" t="str">
        <f t="shared" si="102"/>
        <v>-</v>
      </c>
      <c r="J620" s="254" t="str">
        <f t="shared" si="102"/>
        <v>-</v>
      </c>
      <c r="K620" s="254" t="str">
        <f t="shared" si="102"/>
        <v>-</v>
      </c>
      <c r="L620" s="254" t="str">
        <f t="shared" si="102"/>
        <v>-</v>
      </c>
      <c r="M620" s="254" t="str">
        <f t="shared" si="102"/>
        <v>-</v>
      </c>
      <c r="N620" s="255"/>
    </row>
    <row r="621" spans="1:14" s="256" customFormat="1" hidden="1" outlineLevel="2">
      <c r="A621" s="178"/>
      <c r="B621" s="258" t="s">
        <v>201</v>
      </c>
      <c r="C621" s="253" t="s">
        <v>174</v>
      </c>
      <c r="D621" s="173">
        <v>1</v>
      </c>
      <c r="E621" s="252">
        <f>6.6+3.6</f>
        <v>10.199999999999999</v>
      </c>
      <c r="F621" s="252">
        <v>0.25</v>
      </c>
      <c r="G621" s="254" t="str">
        <f t="shared" si="102"/>
        <v>-</v>
      </c>
      <c r="H621" s="254" t="str">
        <f t="shared" si="102"/>
        <v>-</v>
      </c>
      <c r="I621" s="254" t="str">
        <f t="shared" si="102"/>
        <v>-</v>
      </c>
      <c r="J621" s="254" t="str">
        <f t="shared" si="102"/>
        <v>-</v>
      </c>
      <c r="K621" s="254" t="str">
        <f t="shared" si="102"/>
        <v>-</v>
      </c>
      <c r="L621" s="254" t="str">
        <f t="shared" si="102"/>
        <v>-</v>
      </c>
      <c r="M621" s="254" t="str">
        <f t="shared" si="102"/>
        <v>-</v>
      </c>
      <c r="N621" s="255"/>
    </row>
    <row r="622" spans="1:14" s="256" customFormat="1" hidden="1" outlineLevel="2">
      <c r="A622" s="178"/>
      <c r="B622" s="252" t="s">
        <v>202</v>
      </c>
      <c r="C622" s="253" t="s">
        <v>176</v>
      </c>
      <c r="D622" s="173">
        <v>1</v>
      </c>
      <c r="E622" s="252">
        <v>11.95</v>
      </c>
      <c r="F622" s="252"/>
      <c r="G622" s="254" t="str">
        <f t="shared" si="102"/>
        <v>-</v>
      </c>
      <c r="H622" s="254" t="str">
        <f t="shared" si="102"/>
        <v>-</v>
      </c>
      <c r="I622" s="254" t="str">
        <f t="shared" si="102"/>
        <v>-</v>
      </c>
      <c r="J622" s="254" t="str">
        <f t="shared" si="102"/>
        <v>-</v>
      </c>
      <c r="K622" s="254" t="str">
        <f t="shared" si="102"/>
        <v>-</v>
      </c>
      <c r="L622" s="254" t="str">
        <f t="shared" si="102"/>
        <v>-</v>
      </c>
      <c r="M622" s="254" t="str">
        <f t="shared" si="102"/>
        <v>-</v>
      </c>
      <c r="N622" s="255"/>
    </row>
    <row r="623" spans="1:14" s="256" customFormat="1" hidden="1" outlineLevel="2">
      <c r="A623" s="178"/>
      <c r="B623" s="257" t="s">
        <v>203</v>
      </c>
      <c r="C623" s="253" t="s">
        <v>176</v>
      </c>
      <c r="D623" s="173">
        <v>-1</v>
      </c>
      <c r="E623" s="252">
        <v>2</v>
      </c>
      <c r="F623" s="252"/>
      <c r="G623" s="254" t="str">
        <f t="shared" si="102"/>
        <v>-</v>
      </c>
      <c r="H623" s="254" t="str">
        <f t="shared" si="102"/>
        <v>-</v>
      </c>
      <c r="I623" s="254" t="str">
        <f t="shared" si="102"/>
        <v>-</v>
      </c>
      <c r="J623" s="254" t="str">
        <f t="shared" si="102"/>
        <v>-</v>
      </c>
      <c r="K623" s="254" t="str">
        <f t="shared" si="102"/>
        <v>-</v>
      </c>
      <c r="L623" s="254" t="str">
        <f t="shared" si="102"/>
        <v>-</v>
      </c>
      <c r="M623" s="254" t="str">
        <f t="shared" si="102"/>
        <v>-</v>
      </c>
      <c r="N623" s="255"/>
    </row>
    <row r="624" spans="1:14" s="256" customFormat="1" hidden="1" outlineLevel="2">
      <c r="A624" s="259"/>
      <c r="B624" s="252"/>
      <c r="C624" s="253"/>
      <c r="D624" s="173"/>
      <c r="E624" s="252"/>
      <c r="F624" s="252"/>
      <c r="G624" s="254" t="str">
        <f t="shared" si="102"/>
        <v>-</v>
      </c>
      <c r="H624" s="254" t="str">
        <f t="shared" si="102"/>
        <v>-</v>
      </c>
      <c r="I624" s="254" t="str">
        <f t="shared" si="102"/>
        <v>-</v>
      </c>
      <c r="J624" s="254" t="str">
        <f t="shared" si="102"/>
        <v>-</v>
      </c>
      <c r="K624" s="254" t="str">
        <f t="shared" si="102"/>
        <v>-</v>
      </c>
      <c r="L624" s="254" t="str">
        <f t="shared" si="102"/>
        <v>-</v>
      </c>
      <c r="M624" s="254" t="str">
        <f t="shared" si="102"/>
        <v>-</v>
      </c>
      <c r="N624" s="255"/>
    </row>
    <row r="625" spans="1:14" s="251" customFormat="1" ht="15" hidden="1" outlineLevel="1" collapsed="1">
      <c r="A625" s="245"/>
      <c r="B625" s="246" t="s">
        <v>282</v>
      </c>
      <c r="C625" s="245"/>
      <c r="D625" s="247">
        <v>1</v>
      </c>
      <c r="E625" s="248"/>
      <c r="F625" s="248"/>
      <c r="G625" s="249">
        <f t="shared" ref="G625:M625" si="103">SUBTOTAL(9,G626:G644)</f>
        <v>26.7</v>
      </c>
      <c r="H625" s="249">
        <f t="shared" si="103"/>
        <v>61.599999999999994</v>
      </c>
      <c r="I625" s="249">
        <f t="shared" si="103"/>
        <v>10.440000000000001</v>
      </c>
      <c r="J625" s="249">
        <f t="shared" si="103"/>
        <v>0.36</v>
      </c>
      <c r="K625" s="249">
        <f t="shared" si="103"/>
        <v>0</v>
      </c>
      <c r="L625" s="249">
        <f t="shared" si="103"/>
        <v>0</v>
      </c>
      <c r="M625" s="249">
        <f t="shared" si="103"/>
        <v>0</v>
      </c>
      <c r="N625" s="250"/>
    </row>
    <row r="626" spans="1:14" s="256" customFormat="1" hidden="1" outlineLevel="2">
      <c r="A626" s="178"/>
      <c r="B626" s="252" t="s">
        <v>189</v>
      </c>
      <c r="C626" s="253" t="s">
        <v>169</v>
      </c>
      <c r="D626" s="173">
        <v>1</v>
      </c>
      <c r="E626" s="252">
        <v>26.7</v>
      </c>
      <c r="F626" s="252"/>
      <c r="G626" s="254">
        <f t="shared" ref="G626:M644" si="104">IF($C626=G$5,PRODUCT($D626:$F626),"-")</f>
        <v>26.7</v>
      </c>
      <c r="H626" s="254" t="str">
        <f t="shared" si="104"/>
        <v>-</v>
      </c>
      <c r="I626" s="254" t="str">
        <f t="shared" si="104"/>
        <v>-</v>
      </c>
      <c r="J626" s="254" t="str">
        <f t="shared" si="104"/>
        <v>-</v>
      </c>
      <c r="K626" s="254" t="str">
        <f t="shared" si="104"/>
        <v>-</v>
      </c>
      <c r="L626" s="254" t="str">
        <f t="shared" si="104"/>
        <v>-</v>
      </c>
      <c r="M626" s="254" t="str">
        <f t="shared" si="104"/>
        <v>-</v>
      </c>
      <c r="N626" s="255"/>
    </row>
    <row r="627" spans="1:14" s="256" customFormat="1" hidden="1" outlineLevel="2">
      <c r="A627" s="178"/>
      <c r="B627" s="252" t="s">
        <v>190</v>
      </c>
      <c r="C627" s="253" t="s">
        <v>170</v>
      </c>
      <c r="D627" s="173">
        <v>1</v>
      </c>
      <c r="E627" s="252">
        <v>22.3</v>
      </c>
      <c r="F627" s="252"/>
      <c r="G627" s="254" t="str">
        <f t="shared" si="104"/>
        <v>-</v>
      </c>
      <c r="H627" s="254" t="str">
        <f t="shared" si="104"/>
        <v>-</v>
      </c>
      <c r="I627" s="254" t="str">
        <f t="shared" si="104"/>
        <v>-</v>
      </c>
      <c r="J627" s="254" t="str">
        <f t="shared" si="104"/>
        <v>-</v>
      </c>
      <c r="K627" s="254" t="str">
        <f t="shared" si="104"/>
        <v>-</v>
      </c>
      <c r="L627" s="254" t="str">
        <f t="shared" si="104"/>
        <v>-</v>
      </c>
      <c r="M627" s="254" t="str">
        <f t="shared" si="104"/>
        <v>-</v>
      </c>
      <c r="N627" s="255"/>
    </row>
    <row r="628" spans="1:14" s="256" customFormat="1" hidden="1" outlineLevel="2">
      <c r="A628" s="178"/>
      <c r="B628" s="257" t="s">
        <v>191</v>
      </c>
      <c r="C628" s="253" t="s">
        <v>170</v>
      </c>
      <c r="D628" s="173">
        <v>-2</v>
      </c>
      <c r="E628" s="252">
        <v>0.8</v>
      </c>
      <c r="F628" s="252"/>
      <c r="G628" s="254" t="str">
        <f t="shared" si="104"/>
        <v>-</v>
      </c>
      <c r="H628" s="254" t="str">
        <f t="shared" si="104"/>
        <v>-</v>
      </c>
      <c r="I628" s="254" t="str">
        <f t="shared" si="104"/>
        <v>-</v>
      </c>
      <c r="J628" s="254" t="str">
        <f t="shared" si="104"/>
        <v>-</v>
      </c>
      <c r="K628" s="254" t="str">
        <f t="shared" si="104"/>
        <v>-</v>
      </c>
      <c r="L628" s="254" t="str">
        <f t="shared" si="104"/>
        <v>-</v>
      </c>
      <c r="M628" s="254" t="str">
        <f t="shared" si="104"/>
        <v>-</v>
      </c>
      <c r="N628" s="255"/>
    </row>
    <row r="629" spans="1:14" s="256" customFormat="1" hidden="1" outlineLevel="2">
      <c r="A629" s="178"/>
      <c r="B629" s="257" t="s">
        <v>191</v>
      </c>
      <c r="C629" s="253" t="s">
        <v>170</v>
      </c>
      <c r="D629" s="173">
        <v>-1</v>
      </c>
      <c r="E629" s="252">
        <v>3</v>
      </c>
      <c r="F629" s="252"/>
      <c r="G629" s="254" t="str">
        <f t="shared" si="104"/>
        <v>-</v>
      </c>
      <c r="H629" s="254" t="str">
        <f t="shared" si="104"/>
        <v>-</v>
      </c>
      <c r="I629" s="254" t="str">
        <f t="shared" si="104"/>
        <v>-</v>
      </c>
      <c r="J629" s="254" t="str">
        <f t="shared" si="104"/>
        <v>-</v>
      </c>
      <c r="K629" s="254" t="str">
        <f t="shared" si="104"/>
        <v>-</v>
      </c>
      <c r="L629" s="254" t="str">
        <f t="shared" si="104"/>
        <v>-</v>
      </c>
      <c r="M629" s="254" t="str">
        <f t="shared" si="104"/>
        <v>-</v>
      </c>
      <c r="N629" s="255"/>
    </row>
    <row r="630" spans="1:14" s="256" customFormat="1" hidden="1" outlineLevel="2">
      <c r="A630" s="178"/>
      <c r="B630" s="257" t="s">
        <v>192</v>
      </c>
      <c r="C630" s="253" t="s">
        <v>170</v>
      </c>
      <c r="D630" s="173">
        <v>-1</v>
      </c>
      <c r="E630" s="252">
        <v>2.8</v>
      </c>
      <c r="F630" s="252"/>
      <c r="G630" s="254" t="str">
        <f t="shared" si="104"/>
        <v>-</v>
      </c>
      <c r="H630" s="254" t="str">
        <f t="shared" si="104"/>
        <v>-</v>
      </c>
      <c r="I630" s="254" t="str">
        <f t="shared" si="104"/>
        <v>-</v>
      </c>
      <c r="J630" s="254" t="str">
        <f t="shared" si="104"/>
        <v>-</v>
      </c>
      <c r="K630" s="254" t="str">
        <f t="shared" si="104"/>
        <v>-</v>
      </c>
      <c r="L630" s="254" t="str">
        <f t="shared" si="104"/>
        <v>-</v>
      </c>
      <c r="M630" s="254" t="str">
        <f t="shared" si="104"/>
        <v>-</v>
      </c>
      <c r="N630" s="255"/>
    </row>
    <row r="631" spans="1:14" s="256" customFormat="1" hidden="1" outlineLevel="2">
      <c r="A631" s="178"/>
      <c r="B631" s="252" t="s">
        <v>193</v>
      </c>
      <c r="C631" s="253" t="s">
        <v>171</v>
      </c>
      <c r="D631" s="173">
        <v>1</v>
      </c>
      <c r="E631" s="252">
        <f>59.8+1.8</f>
        <v>61.599999999999994</v>
      </c>
      <c r="F631" s="252"/>
      <c r="G631" s="254" t="str">
        <f t="shared" si="104"/>
        <v>-</v>
      </c>
      <c r="H631" s="254">
        <f t="shared" si="104"/>
        <v>61.599999999999994</v>
      </c>
      <c r="I631" s="254" t="str">
        <f t="shared" si="104"/>
        <v>-</v>
      </c>
      <c r="J631" s="254" t="str">
        <f t="shared" si="104"/>
        <v>-</v>
      </c>
      <c r="K631" s="254" t="str">
        <f t="shared" si="104"/>
        <v>-</v>
      </c>
      <c r="L631" s="254" t="str">
        <f t="shared" si="104"/>
        <v>-</v>
      </c>
      <c r="M631" s="254" t="str">
        <f t="shared" si="104"/>
        <v>-</v>
      </c>
      <c r="N631" s="255"/>
    </row>
    <row r="632" spans="1:14" s="256" customFormat="1" hidden="1" outlineLevel="2">
      <c r="A632" s="178"/>
      <c r="B632" s="252" t="s">
        <v>194</v>
      </c>
      <c r="C632" s="253" t="s">
        <v>172</v>
      </c>
      <c r="D632" s="173">
        <v>1</v>
      </c>
      <c r="E632" s="252">
        <f>44+5</f>
        <v>49</v>
      </c>
      <c r="F632" s="252"/>
      <c r="G632" s="254" t="str">
        <f t="shared" si="104"/>
        <v>-</v>
      </c>
      <c r="H632" s="254" t="str">
        <f t="shared" si="104"/>
        <v>-</v>
      </c>
      <c r="I632" s="254" t="str">
        <f t="shared" si="104"/>
        <v>-</v>
      </c>
      <c r="J632" s="254" t="str">
        <f t="shared" si="104"/>
        <v>-</v>
      </c>
      <c r="K632" s="254" t="str">
        <f t="shared" si="104"/>
        <v>-</v>
      </c>
      <c r="L632" s="254" t="str">
        <f t="shared" si="104"/>
        <v>-</v>
      </c>
      <c r="M632" s="254" t="str">
        <f t="shared" si="104"/>
        <v>-</v>
      </c>
      <c r="N632" s="255"/>
    </row>
    <row r="633" spans="1:14" s="256" customFormat="1" hidden="1" outlineLevel="2">
      <c r="A633" s="178"/>
      <c r="B633" s="257" t="s">
        <v>191</v>
      </c>
      <c r="C633" s="253" t="s">
        <v>172</v>
      </c>
      <c r="D633" s="173">
        <v>-6</v>
      </c>
      <c r="E633" s="252">
        <v>0.8</v>
      </c>
      <c r="F633" s="252"/>
      <c r="G633" s="254" t="str">
        <f t="shared" si="104"/>
        <v>-</v>
      </c>
      <c r="H633" s="254" t="str">
        <f t="shared" si="104"/>
        <v>-</v>
      </c>
      <c r="I633" s="254" t="str">
        <f t="shared" si="104"/>
        <v>-</v>
      </c>
      <c r="J633" s="254" t="str">
        <f t="shared" si="104"/>
        <v>-</v>
      </c>
      <c r="K633" s="254" t="str">
        <f t="shared" si="104"/>
        <v>-</v>
      </c>
      <c r="L633" s="254" t="str">
        <f t="shared" si="104"/>
        <v>-</v>
      </c>
      <c r="M633" s="254" t="str">
        <f t="shared" si="104"/>
        <v>-</v>
      </c>
      <c r="N633" s="255"/>
    </row>
    <row r="634" spans="1:14" s="256" customFormat="1" hidden="1" outlineLevel="2">
      <c r="A634" s="178"/>
      <c r="B634" s="257" t="s">
        <v>191</v>
      </c>
      <c r="C634" s="253" t="s">
        <v>172</v>
      </c>
      <c r="D634" s="173">
        <v>-1</v>
      </c>
      <c r="E634" s="252">
        <v>1.25</v>
      </c>
      <c r="F634" s="252"/>
      <c r="G634" s="254" t="str">
        <f t="shared" si="104"/>
        <v>-</v>
      </c>
      <c r="H634" s="254" t="str">
        <f t="shared" si="104"/>
        <v>-</v>
      </c>
      <c r="I634" s="254" t="str">
        <f t="shared" si="104"/>
        <v>-</v>
      </c>
      <c r="J634" s="254" t="str">
        <f t="shared" si="104"/>
        <v>-</v>
      </c>
      <c r="K634" s="254" t="str">
        <f t="shared" si="104"/>
        <v>-</v>
      </c>
      <c r="L634" s="254" t="str">
        <f t="shared" si="104"/>
        <v>-</v>
      </c>
      <c r="M634" s="254" t="str">
        <f t="shared" si="104"/>
        <v>-</v>
      </c>
      <c r="N634" s="255"/>
    </row>
    <row r="635" spans="1:14" s="256" customFormat="1" hidden="1" outlineLevel="2">
      <c r="A635" s="178"/>
      <c r="B635" s="257" t="s">
        <v>195</v>
      </c>
      <c r="C635" s="253" t="s">
        <v>172</v>
      </c>
      <c r="D635" s="173">
        <v>-1</v>
      </c>
      <c r="E635" s="252">
        <v>1.8</v>
      </c>
      <c r="F635" s="252"/>
      <c r="G635" s="254" t="str">
        <f t="shared" si="104"/>
        <v>-</v>
      </c>
      <c r="H635" s="254" t="str">
        <f t="shared" si="104"/>
        <v>-</v>
      </c>
      <c r="I635" s="254" t="str">
        <f t="shared" si="104"/>
        <v>-</v>
      </c>
      <c r="J635" s="254" t="str">
        <f t="shared" si="104"/>
        <v>-</v>
      </c>
      <c r="K635" s="254" t="str">
        <f t="shared" si="104"/>
        <v>-</v>
      </c>
      <c r="L635" s="254" t="str">
        <f t="shared" si="104"/>
        <v>-</v>
      </c>
      <c r="M635" s="254" t="str">
        <f t="shared" si="104"/>
        <v>-</v>
      </c>
      <c r="N635" s="255"/>
    </row>
    <row r="636" spans="1:14" s="256" customFormat="1" hidden="1" outlineLevel="2">
      <c r="A636" s="178"/>
      <c r="B636" s="252" t="s">
        <v>196</v>
      </c>
      <c r="C636" s="253" t="s">
        <v>173</v>
      </c>
      <c r="D636" s="173">
        <v>1</v>
      </c>
      <c r="E636" s="252">
        <f>3.4+7.4-E637</f>
        <v>10.440000000000001</v>
      </c>
      <c r="F636" s="252"/>
      <c r="G636" s="254" t="str">
        <f t="shared" si="104"/>
        <v>-</v>
      </c>
      <c r="H636" s="254" t="str">
        <f t="shared" si="104"/>
        <v>-</v>
      </c>
      <c r="I636" s="254">
        <f t="shared" si="104"/>
        <v>10.440000000000001</v>
      </c>
      <c r="J636" s="254" t="str">
        <f t="shared" si="104"/>
        <v>-</v>
      </c>
      <c r="K636" s="254" t="str">
        <f t="shared" si="104"/>
        <v>-</v>
      </c>
      <c r="L636" s="254" t="str">
        <f t="shared" si="104"/>
        <v>-</v>
      </c>
      <c r="M636" s="254" t="str">
        <f t="shared" si="104"/>
        <v>-</v>
      </c>
      <c r="N636" s="255"/>
    </row>
    <row r="637" spans="1:14" s="256" customFormat="1" hidden="1" outlineLevel="2">
      <c r="A637" s="178"/>
      <c r="B637" s="252" t="s">
        <v>197</v>
      </c>
      <c r="C637" s="253" t="s">
        <v>175</v>
      </c>
      <c r="D637" s="173">
        <v>1</v>
      </c>
      <c r="E637" s="252">
        <f>0.3*0.6*2</f>
        <v>0.36</v>
      </c>
      <c r="F637" s="252"/>
      <c r="G637" s="254" t="str">
        <f t="shared" si="104"/>
        <v>-</v>
      </c>
      <c r="H637" s="254" t="str">
        <f t="shared" si="104"/>
        <v>-</v>
      </c>
      <c r="I637" s="254" t="str">
        <f t="shared" si="104"/>
        <v>-</v>
      </c>
      <c r="J637" s="254">
        <f t="shared" si="104"/>
        <v>0.36</v>
      </c>
      <c r="K637" s="254" t="str">
        <f t="shared" si="104"/>
        <v>-</v>
      </c>
      <c r="L637" s="254" t="str">
        <f t="shared" si="104"/>
        <v>-</v>
      </c>
      <c r="M637" s="254" t="str">
        <f t="shared" si="104"/>
        <v>-</v>
      </c>
      <c r="N637" s="255"/>
    </row>
    <row r="638" spans="1:14" s="256" customFormat="1" hidden="1" outlineLevel="2">
      <c r="A638" s="178"/>
      <c r="B638" s="252" t="s">
        <v>198</v>
      </c>
      <c r="C638" s="253" t="s">
        <v>174</v>
      </c>
      <c r="D638" s="173">
        <v>1</v>
      </c>
      <c r="E638" s="252">
        <f>6.5+12.6</f>
        <v>19.100000000000001</v>
      </c>
      <c r="F638" s="252">
        <v>2.2999999999999998</v>
      </c>
      <c r="G638" s="254" t="str">
        <f t="shared" si="104"/>
        <v>-</v>
      </c>
      <c r="H638" s="254" t="str">
        <f t="shared" si="104"/>
        <v>-</v>
      </c>
      <c r="I638" s="254" t="str">
        <f t="shared" si="104"/>
        <v>-</v>
      </c>
      <c r="J638" s="254" t="str">
        <f t="shared" si="104"/>
        <v>-</v>
      </c>
      <c r="K638" s="254" t="str">
        <f t="shared" si="104"/>
        <v>-</v>
      </c>
      <c r="L638" s="254" t="str">
        <f t="shared" si="104"/>
        <v>-</v>
      </c>
      <c r="M638" s="254" t="str">
        <f t="shared" si="104"/>
        <v>-</v>
      </c>
      <c r="N638" s="255"/>
    </row>
    <row r="639" spans="1:14" s="256" customFormat="1" hidden="1" outlineLevel="2">
      <c r="A639" s="178"/>
      <c r="B639" s="257" t="s">
        <v>199</v>
      </c>
      <c r="C639" s="253" t="s">
        <v>174</v>
      </c>
      <c r="D639" s="173">
        <v>-1</v>
      </c>
      <c r="E639" s="252">
        <v>1.5</v>
      </c>
      <c r="F639" s="252">
        <v>1.45</v>
      </c>
      <c r="G639" s="254" t="str">
        <f t="shared" si="104"/>
        <v>-</v>
      </c>
      <c r="H639" s="254" t="str">
        <f t="shared" si="104"/>
        <v>-</v>
      </c>
      <c r="I639" s="254" t="str">
        <f t="shared" si="104"/>
        <v>-</v>
      </c>
      <c r="J639" s="254" t="str">
        <f t="shared" si="104"/>
        <v>-</v>
      </c>
      <c r="K639" s="254" t="str">
        <f t="shared" si="104"/>
        <v>-</v>
      </c>
      <c r="L639" s="254" t="str">
        <f t="shared" si="104"/>
        <v>-</v>
      </c>
      <c r="M639" s="254" t="str">
        <f t="shared" si="104"/>
        <v>-</v>
      </c>
      <c r="N639" s="255"/>
    </row>
    <row r="640" spans="1:14" s="256" customFormat="1" hidden="1" outlineLevel="2">
      <c r="A640" s="178"/>
      <c r="B640" s="257" t="s">
        <v>200</v>
      </c>
      <c r="C640" s="253" t="s">
        <v>174</v>
      </c>
      <c r="D640" s="173">
        <v>-2</v>
      </c>
      <c r="E640" s="252">
        <v>1.1499999999999999</v>
      </c>
      <c r="F640" s="252">
        <v>0.55000000000000004</v>
      </c>
      <c r="G640" s="254" t="str">
        <f t="shared" si="104"/>
        <v>-</v>
      </c>
      <c r="H640" s="254" t="str">
        <f t="shared" si="104"/>
        <v>-</v>
      </c>
      <c r="I640" s="254" t="str">
        <f t="shared" si="104"/>
        <v>-</v>
      </c>
      <c r="J640" s="254" t="str">
        <f t="shared" si="104"/>
        <v>-</v>
      </c>
      <c r="K640" s="254" t="str">
        <f t="shared" si="104"/>
        <v>-</v>
      </c>
      <c r="L640" s="254" t="str">
        <f t="shared" si="104"/>
        <v>-</v>
      </c>
      <c r="M640" s="254" t="str">
        <f t="shared" si="104"/>
        <v>-</v>
      </c>
      <c r="N640" s="255"/>
    </row>
    <row r="641" spans="1:14" s="256" customFormat="1" hidden="1" outlineLevel="2">
      <c r="A641" s="178"/>
      <c r="B641" s="258" t="s">
        <v>201</v>
      </c>
      <c r="C641" s="253" t="s">
        <v>174</v>
      </c>
      <c r="D641" s="173">
        <v>1</v>
      </c>
      <c r="E641" s="252">
        <v>1.9</v>
      </c>
      <c r="F641" s="252">
        <v>0.25</v>
      </c>
      <c r="G641" s="254" t="str">
        <f t="shared" si="104"/>
        <v>-</v>
      </c>
      <c r="H641" s="254" t="str">
        <f t="shared" si="104"/>
        <v>-</v>
      </c>
      <c r="I641" s="254" t="str">
        <f t="shared" si="104"/>
        <v>-</v>
      </c>
      <c r="J641" s="254" t="str">
        <f t="shared" si="104"/>
        <v>-</v>
      </c>
      <c r="K641" s="254" t="str">
        <f t="shared" si="104"/>
        <v>-</v>
      </c>
      <c r="L641" s="254" t="str">
        <f t="shared" si="104"/>
        <v>-</v>
      </c>
      <c r="M641" s="254" t="str">
        <f t="shared" si="104"/>
        <v>-</v>
      </c>
      <c r="N641" s="255"/>
    </row>
    <row r="642" spans="1:14" s="256" customFormat="1" hidden="1" outlineLevel="2">
      <c r="A642" s="178"/>
      <c r="B642" s="252" t="s">
        <v>202</v>
      </c>
      <c r="C642" s="253" t="s">
        <v>176</v>
      </c>
      <c r="D642" s="173">
        <v>1</v>
      </c>
      <c r="E642" s="252">
        <v>1.9</v>
      </c>
      <c r="F642" s="252">
        <v>1.1499999999999999</v>
      </c>
      <c r="G642" s="254" t="str">
        <f t="shared" si="104"/>
        <v>-</v>
      </c>
      <c r="H642" s="254" t="str">
        <f t="shared" si="104"/>
        <v>-</v>
      </c>
      <c r="I642" s="254" t="str">
        <f t="shared" si="104"/>
        <v>-</v>
      </c>
      <c r="J642" s="254" t="str">
        <f t="shared" si="104"/>
        <v>-</v>
      </c>
      <c r="K642" s="254" t="str">
        <f t="shared" si="104"/>
        <v>-</v>
      </c>
      <c r="L642" s="254" t="str">
        <f t="shared" si="104"/>
        <v>-</v>
      </c>
      <c r="M642" s="254" t="str">
        <f t="shared" si="104"/>
        <v>-</v>
      </c>
      <c r="N642" s="255"/>
    </row>
    <row r="643" spans="1:14" s="256" customFormat="1" hidden="1" outlineLevel="2">
      <c r="A643" s="178"/>
      <c r="B643" s="257" t="s">
        <v>203</v>
      </c>
      <c r="C643" s="253" t="s">
        <v>176</v>
      </c>
      <c r="D643" s="173">
        <v>-1</v>
      </c>
      <c r="E643" s="252">
        <v>1.7</v>
      </c>
      <c r="F643" s="252">
        <v>0.8</v>
      </c>
      <c r="G643" s="254" t="str">
        <f t="shared" si="104"/>
        <v>-</v>
      </c>
      <c r="H643" s="254" t="str">
        <f t="shared" si="104"/>
        <v>-</v>
      </c>
      <c r="I643" s="254" t="str">
        <f t="shared" si="104"/>
        <v>-</v>
      </c>
      <c r="J643" s="254" t="str">
        <f t="shared" si="104"/>
        <v>-</v>
      </c>
      <c r="K643" s="254" t="str">
        <f t="shared" si="104"/>
        <v>-</v>
      </c>
      <c r="L643" s="254" t="str">
        <f t="shared" si="104"/>
        <v>-</v>
      </c>
      <c r="M643" s="254" t="str">
        <f t="shared" si="104"/>
        <v>-</v>
      </c>
      <c r="N643" s="255"/>
    </row>
    <row r="644" spans="1:14" s="256" customFormat="1" hidden="1" outlineLevel="2">
      <c r="A644" s="259"/>
      <c r="B644" s="252"/>
      <c r="C644" s="253"/>
      <c r="D644" s="173"/>
      <c r="E644" s="252"/>
      <c r="F644" s="252"/>
      <c r="G644" s="254" t="str">
        <f t="shared" si="104"/>
        <v>-</v>
      </c>
      <c r="H644" s="254" t="str">
        <f t="shared" si="104"/>
        <v>-</v>
      </c>
      <c r="I644" s="254" t="str">
        <f t="shared" si="104"/>
        <v>-</v>
      </c>
      <c r="J644" s="254" t="str">
        <f t="shared" si="104"/>
        <v>-</v>
      </c>
      <c r="K644" s="254" t="str">
        <f t="shared" si="104"/>
        <v>-</v>
      </c>
      <c r="L644" s="254" t="str">
        <f t="shared" si="104"/>
        <v>-</v>
      </c>
      <c r="M644" s="254" t="str">
        <f t="shared" si="104"/>
        <v>-</v>
      </c>
      <c r="N644" s="255"/>
    </row>
    <row r="645" spans="1:14" s="251" customFormat="1" ht="15" hidden="1" outlineLevel="1" collapsed="1">
      <c r="A645" s="245"/>
      <c r="B645" s="246" t="s">
        <v>283</v>
      </c>
      <c r="C645" s="245"/>
      <c r="D645" s="247">
        <v>1</v>
      </c>
      <c r="E645" s="248"/>
      <c r="F645" s="248"/>
      <c r="G645" s="249">
        <f t="shared" ref="G645:M645" si="105">SUBTOTAL(9,G646:G659)</f>
        <v>36.9</v>
      </c>
      <c r="H645" s="249">
        <f t="shared" si="105"/>
        <v>5.6</v>
      </c>
      <c r="I645" s="249">
        <f t="shared" si="105"/>
        <v>7.2</v>
      </c>
      <c r="J645" s="249">
        <f t="shared" si="105"/>
        <v>0</v>
      </c>
      <c r="K645" s="249">
        <f t="shared" si="105"/>
        <v>0</v>
      </c>
      <c r="L645" s="249">
        <f t="shared" si="105"/>
        <v>0</v>
      </c>
      <c r="M645" s="249">
        <f t="shared" si="105"/>
        <v>0</v>
      </c>
      <c r="N645" s="250"/>
    </row>
    <row r="646" spans="1:14" s="256" customFormat="1" hidden="1" outlineLevel="2">
      <c r="A646" s="178"/>
      <c r="B646" s="252" t="s">
        <v>189</v>
      </c>
      <c r="C646" s="253" t="s">
        <v>169</v>
      </c>
      <c r="D646" s="173">
        <v>1</v>
      </c>
      <c r="E646" s="252">
        <v>36.9</v>
      </c>
      <c r="F646" s="252"/>
      <c r="G646" s="254">
        <f t="shared" ref="G646:M659" si="106">IF($C646=G$5,PRODUCT($D646:$F646),"-")</f>
        <v>36.9</v>
      </c>
      <c r="H646" s="254" t="str">
        <f t="shared" si="106"/>
        <v>-</v>
      </c>
      <c r="I646" s="254" t="str">
        <f t="shared" si="106"/>
        <v>-</v>
      </c>
      <c r="J646" s="254" t="str">
        <f t="shared" si="106"/>
        <v>-</v>
      </c>
      <c r="K646" s="254" t="str">
        <f t="shared" si="106"/>
        <v>-</v>
      </c>
      <c r="L646" s="254" t="str">
        <f t="shared" si="106"/>
        <v>-</v>
      </c>
      <c r="M646" s="254" t="str">
        <f t="shared" si="106"/>
        <v>-</v>
      </c>
      <c r="N646" s="255"/>
    </row>
    <row r="647" spans="1:14" s="256" customFormat="1" hidden="1" outlineLevel="2">
      <c r="A647" s="178"/>
      <c r="B647" s="252" t="s">
        <v>190</v>
      </c>
      <c r="C647" s="253" t="s">
        <v>170</v>
      </c>
      <c r="D647" s="173">
        <v>1</v>
      </c>
      <c r="E647" s="252">
        <v>28.2</v>
      </c>
      <c r="F647" s="252"/>
      <c r="G647" s="254" t="str">
        <f t="shared" si="106"/>
        <v>-</v>
      </c>
      <c r="H647" s="254" t="str">
        <f t="shared" si="106"/>
        <v>-</v>
      </c>
      <c r="I647" s="254" t="str">
        <f t="shared" si="106"/>
        <v>-</v>
      </c>
      <c r="J647" s="254" t="str">
        <f t="shared" si="106"/>
        <v>-</v>
      </c>
      <c r="K647" s="254" t="str">
        <f t="shared" si="106"/>
        <v>-</v>
      </c>
      <c r="L647" s="254" t="str">
        <f t="shared" si="106"/>
        <v>-</v>
      </c>
      <c r="M647" s="254" t="str">
        <f t="shared" si="106"/>
        <v>-</v>
      </c>
      <c r="N647" s="255"/>
    </row>
    <row r="648" spans="1:14" s="256" customFormat="1" hidden="1" outlineLevel="2">
      <c r="A648" s="178"/>
      <c r="B648" s="257" t="s">
        <v>191</v>
      </c>
      <c r="C648" s="253" t="s">
        <v>170</v>
      </c>
      <c r="D648" s="173">
        <v>-3</v>
      </c>
      <c r="E648" s="252">
        <v>0.8</v>
      </c>
      <c r="F648" s="252"/>
      <c r="G648" s="254" t="str">
        <f t="shared" si="106"/>
        <v>-</v>
      </c>
      <c r="H648" s="254" t="str">
        <f t="shared" si="106"/>
        <v>-</v>
      </c>
      <c r="I648" s="254" t="str">
        <f t="shared" si="106"/>
        <v>-</v>
      </c>
      <c r="J648" s="254" t="str">
        <f t="shared" si="106"/>
        <v>-</v>
      </c>
      <c r="K648" s="254" t="str">
        <f t="shared" si="106"/>
        <v>-</v>
      </c>
      <c r="L648" s="254" t="str">
        <f t="shared" si="106"/>
        <v>-</v>
      </c>
      <c r="M648" s="254" t="str">
        <f t="shared" si="106"/>
        <v>-</v>
      </c>
      <c r="N648" s="255"/>
    </row>
    <row r="649" spans="1:14" s="256" customFormat="1" hidden="1" outlineLevel="2">
      <c r="A649" s="178"/>
      <c r="B649" s="257" t="s">
        <v>192</v>
      </c>
      <c r="C649" s="253" t="s">
        <v>170</v>
      </c>
      <c r="D649" s="173">
        <v>-1</v>
      </c>
      <c r="E649" s="252">
        <v>2.8</v>
      </c>
      <c r="F649" s="252"/>
      <c r="G649" s="254" t="str">
        <f t="shared" si="106"/>
        <v>-</v>
      </c>
      <c r="H649" s="254" t="str">
        <f t="shared" si="106"/>
        <v>-</v>
      </c>
      <c r="I649" s="254" t="str">
        <f t="shared" si="106"/>
        <v>-</v>
      </c>
      <c r="J649" s="254" t="str">
        <f t="shared" si="106"/>
        <v>-</v>
      </c>
      <c r="K649" s="254" t="str">
        <f t="shared" si="106"/>
        <v>-</v>
      </c>
      <c r="L649" s="254" t="str">
        <f t="shared" si="106"/>
        <v>-</v>
      </c>
      <c r="M649" s="254" t="str">
        <f t="shared" si="106"/>
        <v>-</v>
      </c>
      <c r="N649" s="255"/>
    </row>
    <row r="650" spans="1:14" s="256" customFormat="1" hidden="1" outlineLevel="2">
      <c r="A650" s="178"/>
      <c r="B650" s="252" t="s">
        <v>193</v>
      </c>
      <c r="C650" s="253" t="s">
        <v>171</v>
      </c>
      <c r="D650" s="173">
        <v>1</v>
      </c>
      <c r="E650" s="252">
        <v>5.6</v>
      </c>
      <c r="F650" s="252"/>
      <c r="G650" s="254" t="str">
        <f t="shared" si="106"/>
        <v>-</v>
      </c>
      <c r="H650" s="254">
        <f t="shared" si="106"/>
        <v>5.6</v>
      </c>
      <c r="I650" s="254" t="str">
        <f t="shared" si="106"/>
        <v>-</v>
      </c>
      <c r="J650" s="254" t="str">
        <f t="shared" si="106"/>
        <v>-</v>
      </c>
      <c r="K650" s="254" t="str">
        <f t="shared" si="106"/>
        <v>-</v>
      </c>
      <c r="L650" s="254" t="str">
        <f t="shared" si="106"/>
        <v>-</v>
      </c>
      <c r="M650" s="254" t="str">
        <f t="shared" si="106"/>
        <v>-</v>
      </c>
      <c r="N650" s="255"/>
    </row>
    <row r="651" spans="1:14" s="256" customFormat="1" hidden="1" outlineLevel="2">
      <c r="A651" s="178"/>
      <c r="B651" s="252" t="s">
        <v>194</v>
      </c>
      <c r="C651" s="253" t="s">
        <v>172</v>
      </c>
      <c r="D651" s="173">
        <v>1</v>
      </c>
      <c r="E651" s="252">
        <v>10.1</v>
      </c>
      <c r="F651" s="252"/>
      <c r="G651" s="254" t="str">
        <f t="shared" si="106"/>
        <v>-</v>
      </c>
      <c r="H651" s="254" t="str">
        <f t="shared" si="106"/>
        <v>-</v>
      </c>
      <c r="I651" s="254" t="str">
        <f t="shared" si="106"/>
        <v>-</v>
      </c>
      <c r="J651" s="254" t="str">
        <f t="shared" si="106"/>
        <v>-</v>
      </c>
      <c r="K651" s="254" t="str">
        <f t="shared" si="106"/>
        <v>-</v>
      </c>
      <c r="L651" s="254" t="str">
        <f t="shared" si="106"/>
        <v>-</v>
      </c>
      <c r="M651" s="254" t="str">
        <f t="shared" si="106"/>
        <v>-</v>
      </c>
      <c r="N651" s="255"/>
    </row>
    <row r="652" spans="1:14" s="256" customFormat="1" hidden="1" outlineLevel="2">
      <c r="A652" s="178"/>
      <c r="B652" s="257" t="s">
        <v>191</v>
      </c>
      <c r="C652" s="253" t="s">
        <v>172</v>
      </c>
      <c r="D652" s="173">
        <v>-1</v>
      </c>
      <c r="E652" s="252">
        <v>0.8</v>
      </c>
      <c r="F652" s="252"/>
      <c r="G652" s="254" t="str">
        <f t="shared" si="106"/>
        <v>-</v>
      </c>
      <c r="H652" s="254" t="str">
        <f t="shared" si="106"/>
        <v>-</v>
      </c>
      <c r="I652" s="254" t="str">
        <f t="shared" si="106"/>
        <v>-</v>
      </c>
      <c r="J652" s="254" t="str">
        <f t="shared" si="106"/>
        <v>-</v>
      </c>
      <c r="K652" s="254" t="str">
        <f t="shared" si="106"/>
        <v>-</v>
      </c>
      <c r="L652" s="254" t="str">
        <f t="shared" si="106"/>
        <v>-</v>
      </c>
      <c r="M652" s="254" t="str">
        <f t="shared" si="106"/>
        <v>-</v>
      </c>
      <c r="N652" s="255"/>
    </row>
    <row r="653" spans="1:14" s="256" customFormat="1" hidden="1" outlineLevel="2">
      <c r="A653" s="178"/>
      <c r="B653" s="257" t="s">
        <v>195</v>
      </c>
      <c r="C653" s="253" t="s">
        <v>172</v>
      </c>
      <c r="D653" s="173">
        <v>-1</v>
      </c>
      <c r="E653" s="252">
        <v>1.2</v>
      </c>
      <c r="F653" s="252"/>
      <c r="G653" s="254" t="str">
        <f t="shared" si="106"/>
        <v>-</v>
      </c>
      <c r="H653" s="254" t="str">
        <f t="shared" si="106"/>
        <v>-</v>
      </c>
      <c r="I653" s="254" t="str">
        <f t="shared" si="106"/>
        <v>-</v>
      </c>
      <c r="J653" s="254" t="str">
        <f t="shared" si="106"/>
        <v>-</v>
      </c>
      <c r="K653" s="254" t="str">
        <f t="shared" si="106"/>
        <v>-</v>
      </c>
      <c r="L653" s="254" t="str">
        <f t="shared" si="106"/>
        <v>-</v>
      </c>
      <c r="M653" s="254" t="str">
        <f t="shared" si="106"/>
        <v>-</v>
      </c>
      <c r="N653" s="255"/>
    </row>
    <row r="654" spans="1:14" s="256" customFormat="1" hidden="1" outlineLevel="2">
      <c r="A654" s="178"/>
      <c r="B654" s="252" t="s">
        <v>196</v>
      </c>
      <c r="C654" s="253" t="s">
        <v>173</v>
      </c>
      <c r="D654" s="173">
        <v>1</v>
      </c>
      <c r="E654" s="252">
        <v>7.2</v>
      </c>
      <c r="F654" s="252"/>
      <c r="G654" s="254" t="str">
        <f t="shared" si="106"/>
        <v>-</v>
      </c>
      <c r="H654" s="254" t="str">
        <f t="shared" si="106"/>
        <v>-</v>
      </c>
      <c r="I654" s="254">
        <f t="shared" si="106"/>
        <v>7.2</v>
      </c>
      <c r="J654" s="254" t="str">
        <f t="shared" si="106"/>
        <v>-</v>
      </c>
      <c r="K654" s="254" t="str">
        <f t="shared" si="106"/>
        <v>-</v>
      </c>
      <c r="L654" s="254" t="str">
        <f t="shared" si="106"/>
        <v>-</v>
      </c>
      <c r="M654" s="254" t="str">
        <f t="shared" si="106"/>
        <v>-</v>
      </c>
      <c r="N654" s="255"/>
    </row>
    <row r="655" spans="1:14" s="256" customFormat="1" hidden="1" outlineLevel="2">
      <c r="A655" s="178"/>
      <c r="B655" s="252" t="s">
        <v>198</v>
      </c>
      <c r="C655" s="253" t="s">
        <v>174</v>
      </c>
      <c r="D655" s="173">
        <v>1</v>
      </c>
      <c r="E655" s="252">
        <v>15.4</v>
      </c>
      <c r="F655" s="252">
        <v>2.2999999999999998</v>
      </c>
      <c r="G655" s="254" t="str">
        <f t="shared" si="106"/>
        <v>-</v>
      </c>
      <c r="H655" s="254" t="str">
        <f t="shared" si="106"/>
        <v>-</v>
      </c>
      <c r="I655" s="254" t="str">
        <f t="shared" si="106"/>
        <v>-</v>
      </c>
      <c r="J655" s="254" t="str">
        <f t="shared" si="106"/>
        <v>-</v>
      </c>
      <c r="K655" s="254" t="str">
        <f t="shared" si="106"/>
        <v>-</v>
      </c>
      <c r="L655" s="254" t="str">
        <f t="shared" si="106"/>
        <v>-</v>
      </c>
      <c r="M655" s="254" t="str">
        <f t="shared" si="106"/>
        <v>-</v>
      </c>
      <c r="N655" s="255"/>
    </row>
    <row r="656" spans="1:14" s="256" customFormat="1" hidden="1" outlineLevel="2">
      <c r="A656" s="178"/>
      <c r="B656" s="257" t="s">
        <v>212</v>
      </c>
      <c r="C656" s="253" t="s">
        <v>174</v>
      </c>
      <c r="D656" s="173">
        <v>-1</v>
      </c>
      <c r="E656" s="252">
        <v>0.8</v>
      </c>
      <c r="F656" s="252">
        <v>2.2200000000000002</v>
      </c>
      <c r="G656" s="254" t="str">
        <f t="shared" si="106"/>
        <v>-</v>
      </c>
      <c r="H656" s="254" t="str">
        <f t="shared" si="106"/>
        <v>-</v>
      </c>
      <c r="I656" s="254" t="str">
        <f t="shared" si="106"/>
        <v>-</v>
      </c>
      <c r="J656" s="254" t="str">
        <f t="shared" si="106"/>
        <v>-</v>
      </c>
      <c r="K656" s="254" t="str">
        <f t="shared" si="106"/>
        <v>-</v>
      </c>
      <c r="L656" s="254" t="str">
        <f t="shared" si="106"/>
        <v>-</v>
      </c>
      <c r="M656" s="254" t="str">
        <f t="shared" si="106"/>
        <v>-</v>
      </c>
      <c r="N656" s="255"/>
    </row>
    <row r="657" spans="1:14" s="256" customFormat="1" hidden="1" outlineLevel="2">
      <c r="A657" s="178"/>
      <c r="B657" s="257" t="s">
        <v>199</v>
      </c>
      <c r="C657" s="253" t="s">
        <v>174</v>
      </c>
      <c r="D657" s="173">
        <v>-1</v>
      </c>
      <c r="E657" s="252">
        <f>0.95+1.45</f>
        <v>2.4</v>
      </c>
      <c r="F657" s="252">
        <v>1.45</v>
      </c>
      <c r="G657" s="254" t="str">
        <f t="shared" si="106"/>
        <v>-</v>
      </c>
      <c r="H657" s="254" t="str">
        <f t="shared" si="106"/>
        <v>-</v>
      </c>
      <c r="I657" s="254" t="str">
        <f t="shared" si="106"/>
        <v>-</v>
      </c>
      <c r="J657" s="254" t="str">
        <f t="shared" si="106"/>
        <v>-</v>
      </c>
      <c r="K657" s="254" t="str">
        <f t="shared" si="106"/>
        <v>-</v>
      </c>
      <c r="L657" s="254" t="str">
        <f t="shared" si="106"/>
        <v>-</v>
      </c>
      <c r="M657" s="254" t="str">
        <f t="shared" si="106"/>
        <v>-</v>
      </c>
      <c r="N657" s="255"/>
    </row>
    <row r="658" spans="1:14" s="256" customFormat="1" hidden="1" outlineLevel="2">
      <c r="A658" s="178"/>
      <c r="B658" s="258" t="s">
        <v>201</v>
      </c>
      <c r="C658" s="253" t="s">
        <v>174</v>
      </c>
      <c r="D658" s="173">
        <v>1</v>
      </c>
      <c r="E658" s="252">
        <f>E657+0.4</f>
        <v>2.8</v>
      </c>
      <c r="F658" s="252">
        <v>0.25</v>
      </c>
      <c r="G658" s="254" t="str">
        <f t="shared" si="106"/>
        <v>-</v>
      </c>
      <c r="H658" s="254" t="str">
        <f t="shared" si="106"/>
        <v>-</v>
      </c>
      <c r="I658" s="254" t="str">
        <f t="shared" si="106"/>
        <v>-</v>
      </c>
      <c r="J658" s="254" t="str">
        <f t="shared" si="106"/>
        <v>-</v>
      </c>
      <c r="K658" s="254" t="str">
        <f t="shared" si="106"/>
        <v>-</v>
      </c>
      <c r="L658" s="254" t="str">
        <f t="shared" si="106"/>
        <v>-</v>
      </c>
      <c r="M658" s="254" t="str">
        <f t="shared" si="106"/>
        <v>-</v>
      </c>
      <c r="N658" s="255"/>
    </row>
    <row r="659" spans="1:14" s="256" customFormat="1" hidden="1" outlineLevel="2">
      <c r="A659" s="259"/>
      <c r="B659" s="252"/>
      <c r="C659" s="253"/>
      <c r="D659" s="173"/>
      <c r="E659" s="252"/>
      <c r="F659" s="252"/>
      <c r="G659" s="254" t="str">
        <f t="shared" si="106"/>
        <v>-</v>
      </c>
      <c r="H659" s="254" t="str">
        <f t="shared" si="106"/>
        <v>-</v>
      </c>
      <c r="I659" s="254" t="str">
        <f t="shared" si="106"/>
        <v>-</v>
      </c>
      <c r="J659" s="254" t="str">
        <f t="shared" si="106"/>
        <v>-</v>
      </c>
      <c r="K659" s="254" t="str">
        <f t="shared" si="106"/>
        <v>-</v>
      </c>
      <c r="L659" s="254" t="str">
        <f t="shared" si="106"/>
        <v>-</v>
      </c>
      <c r="M659" s="254" t="str">
        <f t="shared" si="106"/>
        <v>-</v>
      </c>
      <c r="N659" s="255"/>
    </row>
    <row r="660" spans="1:14" s="256" customFormat="1" hidden="1" outlineLevel="1">
      <c r="A660" s="260"/>
      <c r="B660" s="261" t="s">
        <v>284</v>
      </c>
      <c r="C660" s="260"/>
      <c r="D660" s="262">
        <v>1</v>
      </c>
      <c r="E660" s="263"/>
      <c r="F660" s="263"/>
      <c r="G660" s="264">
        <f>G529</f>
        <v>20.399999999999999</v>
      </c>
      <c r="H660" s="264">
        <f t="shared" ref="H660:M660" si="107">H529</f>
        <v>5</v>
      </c>
      <c r="I660" s="264">
        <f t="shared" si="107"/>
        <v>4.34</v>
      </c>
      <c r="J660" s="264">
        <f t="shared" si="107"/>
        <v>0.36</v>
      </c>
      <c r="K660" s="264">
        <f t="shared" si="107"/>
        <v>1</v>
      </c>
      <c r="L660" s="264">
        <f t="shared" si="107"/>
        <v>1</v>
      </c>
      <c r="M660" s="264">
        <f t="shared" si="107"/>
        <v>0</v>
      </c>
      <c r="N660" s="265" t="s">
        <v>285</v>
      </c>
    </row>
    <row r="661" spans="1:14" s="256" customFormat="1" hidden="1" outlineLevel="1">
      <c r="A661" s="260"/>
      <c r="B661" s="261" t="s">
        <v>264</v>
      </c>
      <c r="C661" s="260"/>
      <c r="D661" s="262">
        <v>1</v>
      </c>
      <c r="E661" s="263"/>
      <c r="F661" s="263"/>
      <c r="G661" s="264">
        <f>SUM(G527,G528)</f>
        <v>163.80000000000001</v>
      </c>
      <c r="H661" s="264">
        <f t="shared" ref="H661:M661" si="108">SUM(H527,H528)</f>
        <v>54.4</v>
      </c>
      <c r="I661" s="264">
        <f t="shared" si="108"/>
        <v>33.72</v>
      </c>
      <c r="J661" s="264">
        <f t="shared" si="108"/>
        <v>2.16</v>
      </c>
      <c r="K661" s="264">
        <f t="shared" si="108"/>
        <v>8</v>
      </c>
      <c r="L661" s="264">
        <f t="shared" si="108"/>
        <v>8</v>
      </c>
      <c r="M661" s="264">
        <f t="shared" si="108"/>
        <v>0</v>
      </c>
      <c r="N661" s="265" t="s">
        <v>277</v>
      </c>
    </row>
    <row r="662" spans="1:14" s="256" customFormat="1" hidden="1" outlineLevel="1">
      <c r="A662" s="260"/>
      <c r="B662" s="261" t="s">
        <v>286</v>
      </c>
      <c r="C662" s="260"/>
      <c r="D662" s="262">
        <v>1</v>
      </c>
      <c r="E662" s="263"/>
      <c r="F662" s="263"/>
      <c r="G662" s="264">
        <f>G526</f>
        <v>129.10000000000002</v>
      </c>
      <c r="H662" s="264">
        <f t="shared" ref="H662:M662" si="109">H526</f>
        <v>43.4</v>
      </c>
      <c r="I662" s="264">
        <f t="shared" si="109"/>
        <v>38.82</v>
      </c>
      <c r="J662" s="264">
        <f t="shared" si="109"/>
        <v>1.44</v>
      </c>
      <c r="K662" s="264">
        <f t="shared" si="109"/>
        <v>5</v>
      </c>
      <c r="L662" s="264">
        <f t="shared" si="109"/>
        <v>5</v>
      </c>
      <c r="M662" s="264">
        <f t="shared" si="109"/>
        <v>1</v>
      </c>
      <c r="N662" s="265" t="s">
        <v>279</v>
      </c>
    </row>
    <row r="663" spans="1:14" s="251" customFormat="1" ht="15" hidden="1" outlineLevel="1" collapsed="1">
      <c r="A663" s="245"/>
      <c r="B663" s="246" t="s">
        <v>245</v>
      </c>
      <c r="C663" s="245"/>
      <c r="D663" s="247">
        <v>1</v>
      </c>
      <c r="E663" s="248"/>
      <c r="F663" s="248"/>
      <c r="G663" s="249">
        <f t="shared" ref="G663:M663" si="110">SUBTOTAL(9,G664:G667)</f>
        <v>179.5</v>
      </c>
      <c r="H663" s="249">
        <f t="shared" si="110"/>
        <v>0</v>
      </c>
      <c r="I663" s="249">
        <f t="shared" si="110"/>
        <v>0</v>
      </c>
      <c r="J663" s="249">
        <f t="shared" si="110"/>
        <v>0</v>
      </c>
      <c r="K663" s="249">
        <f t="shared" si="110"/>
        <v>0</v>
      </c>
      <c r="L663" s="249">
        <f t="shared" si="110"/>
        <v>0</v>
      </c>
      <c r="M663" s="249">
        <f t="shared" si="110"/>
        <v>0</v>
      </c>
      <c r="N663" s="250"/>
    </row>
    <row r="664" spans="1:14" s="256" customFormat="1" hidden="1" outlineLevel="2">
      <c r="A664" s="178"/>
      <c r="B664" s="252" t="s">
        <v>189</v>
      </c>
      <c r="C664" s="253" t="s">
        <v>169</v>
      </c>
      <c r="D664" s="173">
        <v>1</v>
      </c>
      <c r="E664" s="252">
        <v>179.5</v>
      </c>
      <c r="F664" s="252"/>
      <c r="G664" s="254">
        <f t="shared" ref="G664:M667" si="111">IF($C664=G$5,PRODUCT($D664:$F664),"-")</f>
        <v>179.5</v>
      </c>
      <c r="H664" s="254" t="str">
        <f t="shared" si="111"/>
        <v>-</v>
      </c>
      <c r="I664" s="254" t="str">
        <f t="shared" si="111"/>
        <v>-</v>
      </c>
      <c r="J664" s="254" t="str">
        <f t="shared" si="111"/>
        <v>-</v>
      </c>
      <c r="K664" s="254" t="str">
        <f t="shared" si="111"/>
        <v>-</v>
      </c>
      <c r="L664" s="254" t="str">
        <f t="shared" si="111"/>
        <v>-</v>
      </c>
      <c r="M664" s="254" t="str">
        <f t="shared" si="111"/>
        <v>-</v>
      </c>
      <c r="N664" s="255"/>
    </row>
    <row r="665" spans="1:14" s="256" customFormat="1" hidden="1" outlineLevel="2">
      <c r="A665" s="178"/>
      <c r="B665" s="252" t="s">
        <v>190</v>
      </c>
      <c r="C665" s="253" t="s">
        <v>170</v>
      </c>
      <c r="D665" s="173">
        <v>1</v>
      </c>
      <c r="E665" s="252">
        <v>217.5</v>
      </c>
      <c r="F665" s="252"/>
      <c r="G665" s="254" t="str">
        <f t="shared" si="111"/>
        <v>-</v>
      </c>
      <c r="H665" s="254" t="str">
        <f t="shared" si="111"/>
        <v>-</v>
      </c>
      <c r="I665" s="254" t="str">
        <f t="shared" si="111"/>
        <v>-</v>
      </c>
      <c r="J665" s="254" t="str">
        <f t="shared" si="111"/>
        <v>-</v>
      </c>
      <c r="K665" s="254" t="str">
        <f t="shared" si="111"/>
        <v>-</v>
      </c>
      <c r="L665" s="254" t="str">
        <f t="shared" si="111"/>
        <v>-</v>
      </c>
      <c r="M665" s="254" t="str">
        <f t="shared" si="111"/>
        <v>-</v>
      </c>
      <c r="N665" s="255"/>
    </row>
    <row r="666" spans="1:14" s="256" customFormat="1" hidden="1" outlineLevel="2">
      <c r="A666" s="178"/>
      <c r="B666" s="266" t="s">
        <v>247</v>
      </c>
      <c r="C666" s="253" t="s">
        <v>170</v>
      </c>
      <c r="D666" s="173">
        <v>-2</v>
      </c>
      <c r="E666" s="252">
        <f>8.7+1*2+0.8*12+1.25*2</f>
        <v>22.8</v>
      </c>
      <c r="F666" s="252"/>
      <c r="G666" s="254" t="str">
        <f t="shared" si="111"/>
        <v>-</v>
      </c>
      <c r="H666" s="254" t="str">
        <f t="shared" si="111"/>
        <v>-</v>
      </c>
      <c r="I666" s="254" t="str">
        <f t="shared" si="111"/>
        <v>-</v>
      </c>
      <c r="J666" s="254" t="str">
        <f t="shared" si="111"/>
        <v>-</v>
      </c>
      <c r="K666" s="254" t="str">
        <f t="shared" si="111"/>
        <v>-</v>
      </c>
      <c r="L666" s="254" t="str">
        <f t="shared" si="111"/>
        <v>-</v>
      </c>
      <c r="M666" s="254" t="str">
        <f t="shared" si="111"/>
        <v>-</v>
      </c>
      <c r="N666" s="255"/>
    </row>
    <row r="667" spans="1:14" s="256" customFormat="1" hidden="1" outlineLevel="2">
      <c r="A667" s="259"/>
      <c r="B667" s="252"/>
      <c r="C667" s="253"/>
      <c r="D667" s="173"/>
      <c r="E667" s="252"/>
      <c r="F667" s="252"/>
      <c r="G667" s="254" t="str">
        <f t="shared" si="111"/>
        <v>-</v>
      </c>
      <c r="H667" s="254" t="str">
        <f t="shared" si="111"/>
        <v>-</v>
      </c>
      <c r="I667" s="254" t="str">
        <f t="shared" si="111"/>
        <v>-</v>
      </c>
      <c r="J667" s="254" t="str">
        <f t="shared" si="111"/>
        <v>-</v>
      </c>
      <c r="K667" s="254" t="str">
        <f t="shared" si="111"/>
        <v>-</v>
      </c>
      <c r="L667" s="254" t="str">
        <f t="shared" si="111"/>
        <v>-</v>
      </c>
      <c r="M667" s="254" t="str">
        <f t="shared" si="111"/>
        <v>-</v>
      </c>
      <c r="N667" s="255"/>
    </row>
    <row r="668" spans="1:14" s="244" customFormat="1" ht="15" collapsed="1">
      <c r="A668" s="237"/>
      <c r="B668" s="238" t="s">
        <v>287</v>
      </c>
      <c r="C668" s="237"/>
      <c r="D668" s="239">
        <v>1</v>
      </c>
      <c r="E668" s="240"/>
      <c r="F668" s="241"/>
      <c r="G668" s="242">
        <f t="shared" ref="G668:M668" si="112">SUBTOTAL(9,G669:G718)</f>
        <v>918.8</v>
      </c>
      <c r="H668" s="242">
        <f t="shared" si="112"/>
        <v>271.59999999999997</v>
      </c>
      <c r="I668" s="242">
        <f t="shared" si="112"/>
        <v>185.79999999999998</v>
      </c>
      <c r="J668" s="242">
        <f t="shared" si="112"/>
        <v>9.36</v>
      </c>
      <c r="K668" s="242">
        <f t="shared" si="112"/>
        <v>26</v>
      </c>
      <c r="L668" s="242">
        <f t="shared" si="112"/>
        <v>26</v>
      </c>
      <c r="M668" s="242">
        <f t="shared" si="112"/>
        <v>2</v>
      </c>
      <c r="N668" s="243"/>
    </row>
    <row r="669" spans="1:14" s="256" customFormat="1" hidden="1" outlineLevel="1">
      <c r="A669" s="260"/>
      <c r="B669" s="261" t="s">
        <v>288</v>
      </c>
      <c r="C669" s="260"/>
      <c r="D669" s="262">
        <v>1</v>
      </c>
      <c r="E669" s="263"/>
      <c r="F669" s="263"/>
      <c r="G669" s="264">
        <f>G526*2</f>
        <v>258.20000000000005</v>
      </c>
      <c r="H669" s="264">
        <f t="shared" ref="H669:M670" si="113">H526*2</f>
        <v>86.8</v>
      </c>
      <c r="I669" s="264">
        <f t="shared" si="113"/>
        <v>77.64</v>
      </c>
      <c r="J669" s="264">
        <f t="shared" si="113"/>
        <v>2.88</v>
      </c>
      <c r="K669" s="264">
        <f t="shared" si="113"/>
        <v>10</v>
      </c>
      <c r="L669" s="264">
        <f t="shared" si="113"/>
        <v>10</v>
      </c>
      <c r="M669" s="264">
        <f t="shared" si="113"/>
        <v>2</v>
      </c>
      <c r="N669" s="265" t="s">
        <v>271</v>
      </c>
    </row>
    <row r="670" spans="1:14" s="256" customFormat="1" hidden="1" outlineLevel="1">
      <c r="A670" s="260"/>
      <c r="B670" s="261" t="s">
        <v>289</v>
      </c>
      <c r="C670" s="260"/>
      <c r="D670" s="262">
        <v>1</v>
      </c>
      <c r="E670" s="263"/>
      <c r="F670" s="263"/>
      <c r="G670" s="264">
        <f>G527*2</f>
        <v>163.80000000000001</v>
      </c>
      <c r="H670" s="264">
        <f t="shared" si="113"/>
        <v>54.4</v>
      </c>
      <c r="I670" s="264">
        <f t="shared" si="113"/>
        <v>33.72</v>
      </c>
      <c r="J670" s="264">
        <f t="shared" si="113"/>
        <v>2.16</v>
      </c>
      <c r="K670" s="264">
        <f t="shared" si="113"/>
        <v>8</v>
      </c>
      <c r="L670" s="264">
        <f t="shared" si="113"/>
        <v>8</v>
      </c>
      <c r="M670" s="264">
        <f t="shared" si="113"/>
        <v>0</v>
      </c>
      <c r="N670" s="265" t="s">
        <v>290</v>
      </c>
    </row>
    <row r="671" spans="1:14" s="251" customFormat="1" ht="15" hidden="1" outlineLevel="1" collapsed="1">
      <c r="A671" s="245"/>
      <c r="B671" s="246" t="s">
        <v>219</v>
      </c>
      <c r="C671" s="245"/>
      <c r="D671" s="247">
        <v>1</v>
      </c>
      <c r="E671" s="248"/>
      <c r="F671" s="248"/>
      <c r="G671" s="249">
        <f t="shared" ref="G671:M671" si="114">SUBTOTAL(9,G672:G685)</f>
        <v>20.7</v>
      </c>
      <c r="H671" s="249">
        <f t="shared" si="114"/>
        <v>5</v>
      </c>
      <c r="I671" s="249">
        <f t="shared" si="114"/>
        <v>4.34</v>
      </c>
      <c r="J671" s="249">
        <f t="shared" si="114"/>
        <v>0.36</v>
      </c>
      <c r="K671" s="249">
        <f t="shared" si="114"/>
        <v>0</v>
      </c>
      <c r="L671" s="249">
        <f t="shared" si="114"/>
        <v>0</v>
      </c>
      <c r="M671" s="249">
        <f t="shared" si="114"/>
        <v>0</v>
      </c>
      <c r="N671" s="250"/>
    </row>
    <row r="672" spans="1:14" s="256" customFormat="1" hidden="1" outlineLevel="2">
      <c r="A672" s="178"/>
      <c r="B672" s="252" t="s">
        <v>189</v>
      </c>
      <c r="C672" s="253" t="s">
        <v>169</v>
      </c>
      <c r="D672" s="173">
        <v>1</v>
      </c>
      <c r="E672" s="252">
        <v>20.7</v>
      </c>
      <c r="F672" s="252"/>
      <c r="G672" s="254">
        <f t="shared" ref="G672:M690" si="115">IF($C672=G$5,PRODUCT($D672:$F672),"-")</f>
        <v>20.7</v>
      </c>
      <c r="H672" s="254" t="str">
        <f t="shared" si="115"/>
        <v>-</v>
      </c>
      <c r="I672" s="254" t="str">
        <f t="shared" si="115"/>
        <v>-</v>
      </c>
      <c r="J672" s="254" t="str">
        <f t="shared" si="115"/>
        <v>-</v>
      </c>
      <c r="K672" s="254" t="str">
        <f t="shared" si="115"/>
        <v>-</v>
      </c>
      <c r="L672" s="254" t="str">
        <f t="shared" si="115"/>
        <v>-</v>
      </c>
      <c r="M672" s="254" t="str">
        <f t="shared" si="115"/>
        <v>-</v>
      </c>
      <c r="N672" s="255"/>
    </row>
    <row r="673" spans="1:14" s="256" customFormat="1" hidden="1" outlineLevel="2">
      <c r="A673" s="178"/>
      <c r="B673" s="252" t="s">
        <v>190</v>
      </c>
      <c r="C673" s="253" t="s">
        <v>170</v>
      </c>
      <c r="D673" s="173">
        <v>1</v>
      </c>
      <c r="E673" s="252">
        <v>19.5</v>
      </c>
      <c r="F673" s="252"/>
      <c r="G673" s="254" t="str">
        <f t="shared" si="115"/>
        <v>-</v>
      </c>
      <c r="H673" s="254" t="str">
        <f t="shared" si="115"/>
        <v>-</v>
      </c>
      <c r="I673" s="254" t="str">
        <f t="shared" si="115"/>
        <v>-</v>
      </c>
      <c r="J673" s="254" t="str">
        <f t="shared" si="115"/>
        <v>-</v>
      </c>
      <c r="K673" s="254" t="str">
        <f t="shared" si="115"/>
        <v>-</v>
      </c>
      <c r="L673" s="254" t="str">
        <f t="shared" si="115"/>
        <v>-</v>
      </c>
      <c r="M673" s="254" t="str">
        <f t="shared" si="115"/>
        <v>-</v>
      </c>
      <c r="N673" s="255"/>
    </row>
    <row r="674" spans="1:14" s="256" customFormat="1" hidden="1" outlineLevel="2">
      <c r="A674" s="178"/>
      <c r="B674" s="252" t="s">
        <v>193</v>
      </c>
      <c r="C674" s="253" t="s">
        <v>171</v>
      </c>
      <c r="D674" s="173">
        <v>1</v>
      </c>
      <c r="E674" s="252">
        <v>5</v>
      </c>
      <c r="F674" s="252"/>
      <c r="G674" s="254" t="str">
        <f t="shared" si="115"/>
        <v>-</v>
      </c>
      <c r="H674" s="254">
        <f t="shared" si="115"/>
        <v>5</v>
      </c>
      <c r="I674" s="254" t="str">
        <f t="shared" si="115"/>
        <v>-</v>
      </c>
      <c r="J674" s="254" t="str">
        <f t="shared" si="115"/>
        <v>-</v>
      </c>
      <c r="K674" s="254" t="str">
        <f t="shared" si="115"/>
        <v>-</v>
      </c>
      <c r="L674" s="254" t="str">
        <f t="shared" si="115"/>
        <v>-</v>
      </c>
      <c r="M674" s="254" t="str">
        <f t="shared" si="115"/>
        <v>-</v>
      </c>
      <c r="N674" s="255"/>
    </row>
    <row r="675" spans="1:14" s="256" customFormat="1" hidden="1" outlineLevel="2">
      <c r="A675" s="178"/>
      <c r="B675" s="252" t="s">
        <v>194</v>
      </c>
      <c r="C675" s="253" t="s">
        <v>172</v>
      </c>
      <c r="D675" s="173">
        <v>1</v>
      </c>
      <c r="E675" s="252">
        <v>11</v>
      </c>
      <c r="F675" s="252"/>
      <c r="G675" s="254" t="str">
        <f t="shared" si="115"/>
        <v>-</v>
      </c>
      <c r="H675" s="254" t="str">
        <f t="shared" si="115"/>
        <v>-</v>
      </c>
      <c r="I675" s="254" t="str">
        <f t="shared" si="115"/>
        <v>-</v>
      </c>
      <c r="J675" s="254" t="str">
        <f t="shared" si="115"/>
        <v>-</v>
      </c>
      <c r="K675" s="254" t="str">
        <f t="shared" si="115"/>
        <v>-</v>
      </c>
      <c r="L675" s="254" t="str">
        <f t="shared" si="115"/>
        <v>-</v>
      </c>
      <c r="M675" s="254" t="str">
        <f t="shared" si="115"/>
        <v>-</v>
      </c>
      <c r="N675" s="255"/>
    </row>
    <row r="676" spans="1:14" s="256" customFormat="1" hidden="1" outlineLevel="2">
      <c r="A676" s="178"/>
      <c r="B676" s="252" t="s">
        <v>196</v>
      </c>
      <c r="C676" s="253" t="s">
        <v>173</v>
      </c>
      <c r="D676" s="173">
        <v>1</v>
      </c>
      <c r="E676" s="252">
        <f>4.7-0.18*2</f>
        <v>4.34</v>
      </c>
      <c r="F676" s="252"/>
      <c r="G676" s="254" t="str">
        <f t="shared" si="115"/>
        <v>-</v>
      </c>
      <c r="H676" s="254" t="str">
        <f t="shared" si="115"/>
        <v>-</v>
      </c>
      <c r="I676" s="254">
        <f t="shared" si="115"/>
        <v>4.34</v>
      </c>
      <c r="J676" s="254" t="str">
        <f t="shared" si="115"/>
        <v>-</v>
      </c>
      <c r="K676" s="254" t="str">
        <f t="shared" si="115"/>
        <v>-</v>
      </c>
      <c r="L676" s="254" t="str">
        <f t="shared" si="115"/>
        <v>-</v>
      </c>
      <c r="M676" s="254" t="str">
        <f t="shared" si="115"/>
        <v>-</v>
      </c>
      <c r="N676" s="255"/>
    </row>
    <row r="677" spans="1:14" s="256" customFormat="1" hidden="1" outlineLevel="2">
      <c r="A677" s="178"/>
      <c r="B677" s="252" t="s">
        <v>197</v>
      </c>
      <c r="C677" s="253" t="s">
        <v>175</v>
      </c>
      <c r="D677" s="173">
        <v>1</v>
      </c>
      <c r="E677" s="252">
        <f>0.3*0.6*2</f>
        <v>0.36</v>
      </c>
      <c r="F677" s="252"/>
      <c r="G677" s="254" t="str">
        <f t="shared" si="115"/>
        <v>-</v>
      </c>
      <c r="H677" s="254" t="str">
        <f t="shared" si="115"/>
        <v>-</v>
      </c>
      <c r="I677" s="254" t="str">
        <f t="shared" si="115"/>
        <v>-</v>
      </c>
      <c r="J677" s="254">
        <f t="shared" si="115"/>
        <v>0.36</v>
      </c>
      <c r="K677" s="254" t="str">
        <f t="shared" si="115"/>
        <v>-</v>
      </c>
      <c r="L677" s="254" t="str">
        <f t="shared" si="115"/>
        <v>-</v>
      </c>
      <c r="M677" s="254" t="str">
        <f t="shared" si="115"/>
        <v>-</v>
      </c>
      <c r="N677" s="255"/>
    </row>
    <row r="678" spans="1:14" s="256" customFormat="1" hidden="1" outlineLevel="2">
      <c r="A678" s="178"/>
      <c r="B678" s="252" t="s">
        <v>198</v>
      </c>
      <c r="C678" s="253" t="s">
        <v>174</v>
      </c>
      <c r="D678" s="173">
        <v>1</v>
      </c>
      <c r="E678" s="252">
        <v>12.4</v>
      </c>
      <c r="F678" s="252">
        <v>2.2999999999999998</v>
      </c>
      <c r="G678" s="254" t="str">
        <f t="shared" si="115"/>
        <v>-</v>
      </c>
      <c r="H678" s="254" t="str">
        <f t="shared" si="115"/>
        <v>-</v>
      </c>
      <c r="I678" s="254" t="str">
        <f t="shared" si="115"/>
        <v>-</v>
      </c>
      <c r="J678" s="254" t="str">
        <f t="shared" si="115"/>
        <v>-</v>
      </c>
      <c r="K678" s="254" t="str">
        <f t="shared" si="115"/>
        <v>-</v>
      </c>
      <c r="L678" s="254" t="str">
        <f t="shared" si="115"/>
        <v>-</v>
      </c>
      <c r="M678" s="254" t="str">
        <f t="shared" si="115"/>
        <v>-</v>
      </c>
      <c r="N678" s="255"/>
    </row>
    <row r="679" spans="1:14" s="256" customFormat="1" hidden="1" outlineLevel="2">
      <c r="A679" s="178"/>
      <c r="B679" s="257" t="s">
        <v>212</v>
      </c>
      <c r="C679" s="253" t="s">
        <v>174</v>
      </c>
      <c r="D679" s="173">
        <v>-1</v>
      </c>
      <c r="E679" s="252">
        <v>0.8</v>
      </c>
      <c r="F679" s="252">
        <v>2.2200000000000002</v>
      </c>
      <c r="G679" s="254" t="str">
        <f t="shared" si="115"/>
        <v>-</v>
      </c>
      <c r="H679" s="254" t="str">
        <f t="shared" si="115"/>
        <v>-</v>
      </c>
      <c r="I679" s="254" t="str">
        <f t="shared" si="115"/>
        <v>-</v>
      </c>
      <c r="J679" s="254" t="str">
        <f t="shared" si="115"/>
        <v>-</v>
      </c>
      <c r="K679" s="254" t="str">
        <f t="shared" si="115"/>
        <v>-</v>
      </c>
      <c r="L679" s="254" t="str">
        <f t="shared" si="115"/>
        <v>-</v>
      </c>
      <c r="M679" s="254" t="str">
        <f t="shared" si="115"/>
        <v>-</v>
      </c>
      <c r="N679" s="255"/>
    </row>
    <row r="680" spans="1:14" s="256" customFormat="1" hidden="1" outlineLevel="2">
      <c r="A680" s="178"/>
      <c r="B680" s="257" t="s">
        <v>199</v>
      </c>
      <c r="C680" s="253" t="s">
        <v>174</v>
      </c>
      <c r="D680" s="173">
        <v>-1</v>
      </c>
      <c r="E680" s="252">
        <v>1.8</v>
      </c>
      <c r="F680" s="252">
        <v>1.75</v>
      </c>
      <c r="G680" s="254" t="str">
        <f t="shared" si="115"/>
        <v>-</v>
      </c>
      <c r="H680" s="254" t="str">
        <f t="shared" si="115"/>
        <v>-</v>
      </c>
      <c r="I680" s="254" t="str">
        <f t="shared" si="115"/>
        <v>-</v>
      </c>
      <c r="J680" s="254" t="str">
        <f t="shared" si="115"/>
        <v>-</v>
      </c>
      <c r="K680" s="254" t="str">
        <f t="shared" si="115"/>
        <v>-</v>
      </c>
      <c r="L680" s="254" t="str">
        <f t="shared" si="115"/>
        <v>-</v>
      </c>
      <c r="M680" s="254" t="str">
        <f t="shared" si="115"/>
        <v>-</v>
      </c>
      <c r="N680" s="255"/>
    </row>
    <row r="681" spans="1:14" s="256" customFormat="1" hidden="1" outlineLevel="2">
      <c r="A681" s="178"/>
      <c r="B681" s="257" t="s">
        <v>200</v>
      </c>
      <c r="C681" s="253" t="s">
        <v>174</v>
      </c>
      <c r="D681" s="173">
        <v>-2</v>
      </c>
      <c r="E681" s="252">
        <v>0.85</v>
      </c>
      <c r="F681" s="252">
        <v>0.55000000000000004</v>
      </c>
      <c r="G681" s="254" t="str">
        <f t="shared" si="115"/>
        <v>-</v>
      </c>
      <c r="H681" s="254" t="str">
        <f t="shared" si="115"/>
        <v>-</v>
      </c>
      <c r="I681" s="254" t="str">
        <f t="shared" si="115"/>
        <v>-</v>
      </c>
      <c r="J681" s="254" t="str">
        <f t="shared" si="115"/>
        <v>-</v>
      </c>
      <c r="K681" s="254" t="str">
        <f t="shared" si="115"/>
        <v>-</v>
      </c>
      <c r="L681" s="254" t="str">
        <f t="shared" si="115"/>
        <v>-</v>
      </c>
      <c r="M681" s="254" t="str">
        <f t="shared" si="115"/>
        <v>-</v>
      </c>
      <c r="N681" s="255"/>
    </row>
    <row r="682" spans="1:14" s="256" customFormat="1" hidden="1" outlineLevel="2">
      <c r="A682" s="178"/>
      <c r="B682" s="258" t="s">
        <v>201</v>
      </c>
      <c r="C682" s="253" t="s">
        <v>174</v>
      </c>
      <c r="D682" s="173">
        <v>1</v>
      </c>
      <c r="E682" s="252">
        <v>2.15</v>
      </c>
      <c r="F682" s="252">
        <v>0.25</v>
      </c>
      <c r="G682" s="254" t="str">
        <f t="shared" si="115"/>
        <v>-</v>
      </c>
      <c r="H682" s="254" t="str">
        <f t="shared" si="115"/>
        <v>-</v>
      </c>
      <c r="I682" s="254" t="str">
        <f t="shared" si="115"/>
        <v>-</v>
      </c>
      <c r="J682" s="254" t="str">
        <f t="shared" si="115"/>
        <v>-</v>
      </c>
      <c r="K682" s="254" t="str">
        <f t="shared" si="115"/>
        <v>-</v>
      </c>
      <c r="L682" s="254" t="str">
        <f t="shared" si="115"/>
        <v>-</v>
      </c>
      <c r="M682" s="254" t="str">
        <f t="shared" si="115"/>
        <v>-</v>
      </c>
      <c r="N682" s="255"/>
    </row>
    <row r="683" spans="1:14" s="256" customFormat="1" hidden="1" outlineLevel="2">
      <c r="A683" s="178"/>
      <c r="B683" s="252" t="s">
        <v>202</v>
      </c>
      <c r="C683" s="253" t="s">
        <v>176</v>
      </c>
      <c r="D683" s="173">
        <v>1</v>
      </c>
      <c r="E683" s="252">
        <v>2.15</v>
      </c>
      <c r="F683" s="252">
        <v>0.9</v>
      </c>
      <c r="G683" s="254" t="str">
        <f t="shared" si="115"/>
        <v>-</v>
      </c>
      <c r="H683" s="254" t="str">
        <f t="shared" si="115"/>
        <v>-</v>
      </c>
      <c r="I683" s="254" t="str">
        <f t="shared" si="115"/>
        <v>-</v>
      </c>
      <c r="J683" s="254" t="str">
        <f t="shared" si="115"/>
        <v>-</v>
      </c>
      <c r="K683" s="254" t="str">
        <f t="shared" si="115"/>
        <v>-</v>
      </c>
      <c r="L683" s="254" t="str">
        <f t="shared" si="115"/>
        <v>-</v>
      </c>
      <c r="M683" s="254" t="str">
        <f t="shared" si="115"/>
        <v>-</v>
      </c>
      <c r="N683" s="255"/>
    </row>
    <row r="684" spans="1:14" s="256" customFormat="1" hidden="1" outlineLevel="2">
      <c r="A684" s="178"/>
      <c r="B684" s="257" t="s">
        <v>203</v>
      </c>
      <c r="C684" s="253" t="s">
        <v>176</v>
      </c>
      <c r="D684" s="173">
        <v>-1</v>
      </c>
      <c r="E684" s="252">
        <v>1.65</v>
      </c>
      <c r="F684" s="252">
        <v>0.7</v>
      </c>
      <c r="G684" s="254" t="str">
        <f t="shared" si="115"/>
        <v>-</v>
      </c>
      <c r="H684" s="254" t="str">
        <f t="shared" si="115"/>
        <v>-</v>
      </c>
      <c r="I684" s="254" t="str">
        <f t="shared" si="115"/>
        <v>-</v>
      </c>
      <c r="J684" s="254" t="str">
        <f t="shared" si="115"/>
        <v>-</v>
      </c>
      <c r="K684" s="254" t="str">
        <f t="shared" si="115"/>
        <v>-</v>
      </c>
      <c r="L684" s="254" t="str">
        <f t="shared" si="115"/>
        <v>-</v>
      </c>
      <c r="M684" s="254" t="str">
        <f t="shared" si="115"/>
        <v>-</v>
      </c>
      <c r="N684" s="255"/>
    </row>
    <row r="685" spans="1:14" s="256" customFormat="1" hidden="1" outlineLevel="2">
      <c r="A685" s="259"/>
      <c r="B685" s="252"/>
      <c r="C685" s="253"/>
      <c r="D685" s="173"/>
      <c r="E685" s="252"/>
      <c r="F685" s="252"/>
      <c r="G685" s="254" t="str">
        <f t="shared" si="115"/>
        <v>-</v>
      </c>
      <c r="H685" s="254" t="str">
        <f t="shared" si="115"/>
        <v>-</v>
      </c>
      <c r="I685" s="254" t="str">
        <f t="shared" si="115"/>
        <v>-</v>
      </c>
      <c r="J685" s="254" t="str">
        <f t="shared" si="115"/>
        <v>-</v>
      </c>
      <c r="K685" s="254" t="str">
        <f t="shared" si="115"/>
        <v>-</v>
      </c>
      <c r="L685" s="254" t="str">
        <f t="shared" si="115"/>
        <v>-</v>
      </c>
      <c r="M685" s="254" t="str">
        <f t="shared" si="115"/>
        <v>-</v>
      </c>
      <c r="N685" s="255"/>
    </row>
    <row r="686" spans="1:14" s="251" customFormat="1" ht="15" hidden="1" outlineLevel="1" collapsed="1">
      <c r="A686" s="245"/>
      <c r="B686" s="246" t="s">
        <v>220</v>
      </c>
      <c r="C686" s="245"/>
      <c r="D686" s="247">
        <v>1</v>
      </c>
      <c r="E686" s="248"/>
      <c r="F686" s="248"/>
      <c r="G686" s="249">
        <f t="shared" ref="G686:M686" si="116">SUBTOTAL(9,G687:G697)</f>
        <v>23.2</v>
      </c>
      <c r="H686" s="249">
        <f t="shared" si="116"/>
        <v>28.2</v>
      </c>
      <c r="I686" s="249">
        <f t="shared" si="116"/>
        <v>12.64</v>
      </c>
      <c r="J686" s="249">
        <f t="shared" si="116"/>
        <v>0</v>
      </c>
      <c r="K686" s="249">
        <f t="shared" si="116"/>
        <v>0</v>
      </c>
      <c r="L686" s="249">
        <f t="shared" si="116"/>
        <v>0</v>
      </c>
      <c r="M686" s="249">
        <f t="shared" si="116"/>
        <v>0</v>
      </c>
      <c r="N686" s="250"/>
    </row>
    <row r="687" spans="1:14" s="256" customFormat="1" hidden="1" outlineLevel="2">
      <c r="A687" s="178"/>
      <c r="B687" s="252" t="s">
        <v>189</v>
      </c>
      <c r="C687" s="253" t="s">
        <v>169</v>
      </c>
      <c r="D687" s="173">
        <v>1</v>
      </c>
      <c r="E687" s="252">
        <v>23.2</v>
      </c>
      <c r="F687" s="252"/>
      <c r="G687" s="254">
        <f t="shared" si="115"/>
        <v>23.2</v>
      </c>
      <c r="H687" s="254" t="str">
        <f t="shared" si="115"/>
        <v>-</v>
      </c>
      <c r="I687" s="254" t="str">
        <f t="shared" si="115"/>
        <v>-</v>
      </c>
      <c r="J687" s="254" t="str">
        <f t="shared" si="115"/>
        <v>-</v>
      </c>
      <c r="K687" s="254" t="str">
        <f t="shared" si="115"/>
        <v>-</v>
      </c>
      <c r="L687" s="254" t="str">
        <f t="shared" si="115"/>
        <v>-</v>
      </c>
      <c r="M687" s="254" t="str">
        <f t="shared" si="115"/>
        <v>-</v>
      </c>
      <c r="N687" s="255"/>
    </row>
    <row r="688" spans="1:14" s="256" customFormat="1" hidden="1" outlineLevel="2">
      <c r="A688" s="178"/>
      <c r="B688" s="252" t="s">
        <v>190</v>
      </c>
      <c r="C688" s="253" t="s">
        <v>170</v>
      </c>
      <c r="D688" s="173">
        <v>1</v>
      </c>
      <c r="E688" s="252">
        <v>23</v>
      </c>
      <c r="F688" s="252"/>
      <c r="G688" s="254" t="str">
        <f t="shared" si="115"/>
        <v>-</v>
      </c>
      <c r="H688" s="254" t="str">
        <f t="shared" si="115"/>
        <v>-</v>
      </c>
      <c r="I688" s="254" t="str">
        <f t="shared" si="115"/>
        <v>-</v>
      </c>
      <c r="J688" s="254" t="str">
        <f t="shared" si="115"/>
        <v>-</v>
      </c>
      <c r="K688" s="254" t="str">
        <f t="shared" si="115"/>
        <v>-</v>
      </c>
      <c r="L688" s="254" t="str">
        <f t="shared" si="115"/>
        <v>-</v>
      </c>
      <c r="M688" s="254" t="str">
        <f t="shared" si="115"/>
        <v>-</v>
      </c>
      <c r="N688" s="255"/>
    </row>
    <row r="689" spans="1:14" s="256" customFormat="1" hidden="1" outlineLevel="2">
      <c r="A689" s="178"/>
      <c r="B689" s="252" t="s">
        <v>193</v>
      </c>
      <c r="C689" s="253" t="s">
        <v>171</v>
      </c>
      <c r="D689" s="173">
        <v>1</v>
      </c>
      <c r="E689" s="252">
        <v>28.2</v>
      </c>
      <c r="F689" s="252"/>
      <c r="G689" s="254" t="str">
        <f t="shared" si="115"/>
        <v>-</v>
      </c>
      <c r="H689" s="254">
        <f t="shared" si="115"/>
        <v>28.2</v>
      </c>
      <c r="I689" s="254" t="str">
        <f t="shared" si="115"/>
        <v>-</v>
      </c>
      <c r="J689" s="254" t="str">
        <f t="shared" si="115"/>
        <v>-</v>
      </c>
      <c r="K689" s="254" t="str">
        <f t="shared" si="115"/>
        <v>-</v>
      </c>
      <c r="L689" s="254" t="str">
        <f t="shared" si="115"/>
        <v>-</v>
      </c>
      <c r="M689" s="254" t="str">
        <f t="shared" si="115"/>
        <v>-</v>
      </c>
      <c r="N689" s="255"/>
    </row>
    <row r="690" spans="1:14" s="256" customFormat="1" hidden="1" outlineLevel="2">
      <c r="A690" s="178"/>
      <c r="B690" s="252" t="s">
        <v>194</v>
      </c>
      <c r="C690" s="253" t="s">
        <v>172</v>
      </c>
      <c r="D690" s="173">
        <v>1</v>
      </c>
      <c r="E690" s="252">
        <v>26.3</v>
      </c>
      <c r="F690" s="252"/>
      <c r="G690" s="254" t="str">
        <f t="shared" si="115"/>
        <v>-</v>
      </c>
      <c r="H690" s="254" t="str">
        <f t="shared" si="115"/>
        <v>-</v>
      </c>
      <c r="I690" s="254" t="str">
        <f t="shared" si="115"/>
        <v>-</v>
      </c>
      <c r="J690" s="254" t="str">
        <f t="shared" si="115"/>
        <v>-</v>
      </c>
      <c r="K690" s="254" t="str">
        <f t="shared" si="115"/>
        <v>-</v>
      </c>
      <c r="L690" s="254" t="str">
        <f t="shared" si="115"/>
        <v>-</v>
      </c>
      <c r="M690" s="254" t="str">
        <f t="shared" si="115"/>
        <v>-</v>
      </c>
      <c r="N690" s="255"/>
    </row>
    <row r="691" spans="1:14" s="256" customFormat="1" hidden="1" outlineLevel="2">
      <c r="A691" s="178"/>
      <c r="B691" s="257" t="s">
        <v>212</v>
      </c>
      <c r="C691" s="253" t="s">
        <v>172</v>
      </c>
      <c r="D691" s="173">
        <v>-1</v>
      </c>
      <c r="E691" s="252">
        <f>0.8*2+1.25</f>
        <v>2.85</v>
      </c>
      <c r="F691" s="252"/>
      <c r="G691" s="254" t="str">
        <f t="shared" ref="G691:M697" si="117">IF($C691=G$5,PRODUCT($D691:$F691),"-")</f>
        <v>-</v>
      </c>
      <c r="H691" s="254" t="str">
        <f t="shared" si="117"/>
        <v>-</v>
      </c>
      <c r="I691" s="254" t="str">
        <f t="shared" si="117"/>
        <v>-</v>
      </c>
      <c r="J691" s="254" t="str">
        <f t="shared" si="117"/>
        <v>-</v>
      </c>
      <c r="K691" s="254" t="str">
        <f t="shared" si="117"/>
        <v>-</v>
      </c>
      <c r="L691" s="254" t="str">
        <f t="shared" si="117"/>
        <v>-</v>
      </c>
      <c r="M691" s="254" t="str">
        <f t="shared" si="117"/>
        <v>-</v>
      </c>
      <c r="N691" s="255"/>
    </row>
    <row r="692" spans="1:14" s="256" customFormat="1" hidden="1" outlineLevel="2">
      <c r="A692" s="178"/>
      <c r="B692" s="252" t="s">
        <v>196</v>
      </c>
      <c r="C692" s="253" t="s">
        <v>173</v>
      </c>
      <c r="D692" s="173">
        <v>1</v>
      </c>
      <c r="E692" s="252">
        <f>8.5+4.5-0.36</f>
        <v>12.64</v>
      </c>
      <c r="F692" s="252"/>
      <c r="G692" s="254" t="str">
        <f t="shared" si="117"/>
        <v>-</v>
      </c>
      <c r="H692" s="254" t="str">
        <f t="shared" si="117"/>
        <v>-</v>
      </c>
      <c r="I692" s="254">
        <f t="shared" si="117"/>
        <v>12.64</v>
      </c>
      <c r="J692" s="254" t="str">
        <f t="shared" si="117"/>
        <v>-</v>
      </c>
      <c r="K692" s="254" t="str">
        <f t="shared" si="117"/>
        <v>-</v>
      </c>
      <c r="L692" s="254" t="str">
        <f t="shared" si="117"/>
        <v>-</v>
      </c>
      <c r="M692" s="254" t="str">
        <f t="shared" si="117"/>
        <v>-</v>
      </c>
      <c r="N692" s="255"/>
    </row>
    <row r="693" spans="1:14" s="256" customFormat="1" hidden="1" outlineLevel="2">
      <c r="A693" s="178"/>
      <c r="B693" s="252" t="s">
        <v>198</v>
      </c>
      <c r="C693" s="253" t="s">
        <v>174</v>
      </c>
      <c r="D693" s="173">
        <v>1</v>
      </c>
      <c r="E693" s="252">
        <f>13.4+8.5</f>
        <v>21.9</v>
      </c>
      <c r="F693" s="252">
        <v>2.2999999999999998</v>
      </c>
      <c r="G693" s="254" t="str">
        <f t="shared" si="117"/>
        <v>-</v>
      </c>
      <c r="H693" s="254" t="str">
        <f t="shared" si="117"/>
        <v>-</v>
      </c>
      <c r="I693" s="254" t="str">
        <f t="shared" si="117"/>
        <v>-</v>
      </c>
      <c r="J693" s="254" t="str">
        <f t="shared" si="117"/>
        <v>-</v>
      </c>
      <c r="K693" s="254" t="str">
        <f t="shared" si="117"/>
        <v>-</v>
      </c>
      <c r="L693" s="254" t="str">
        <f t="shared" si="117"/>
        <v>-</v>
      </c>
      <c r="M693" s="254" t="str">
        <f t="shared" si="117"/>
        <v>-</v>
      </c>
      <c r="N693" s="255"/>
    </row>
    <row r="694" spans="1:14" s="256" customFormat="1" hidden="1" outlineLevel="2">
      <c r="A694" s="178"/>
      <c r="B694" s="257" t="s">
        <v>212</v>
      </c>
      <c r="C694" s="253" t="s">
        <v>174</v>
      </c>
      <c r="D694" s="173">
        <v>-2</v>
      </c>
      <c r="E694" s="252">
        <v>0.8</v>
      </c>
      <c r="F694" s="252">
        <v>2.2200000000000002</v>
      </c>
      <c r="G694" s="254" t="str">
        <f t="shared" si="117"/>
        <v>-</v>
      </c>
      <c r="H694" s="254" t="str">
        <f t="shared" si="117"/>
        <v>-</v>
      </c>
      <c r="I694" s="254" t="str">
        <f t="shared" si="117"/>
        <v>-</v>
      </c>
      <c r="J694" s="254" t="str">
        <f t="shared" si="117"/>
        <v>-</v>
      </c>
      <c r="K694" s="254" t="str">
        <f t="shared" si="117"/>
        <v>-</v>
      </c>
      <c r="L694" s="254" t="str">
        <f t="shared" si="117"/>
        <v>-</v>
      </c>
      <c r="M694" s="254" t="str">
        <f t="shared" si="117"/>
        <v>-</v>
      </c>
      <c r="N694" s="255"/>
    </row>
    <row r="695" spans="1:14" s="256" customFormat="1" hidden="1" outlineLevel="2">
      <c r="A695" s="178"/>
      <c r="B695" s="257" t="s">
        <v>199</v>
      </c>
      <c r="C695" s="253" t="s">
        <v>174</v>
      </c>
      <c r="D695" s="173">
        <v>-1</v>
      </c>
      <c r="E695" s="252">
        <f>0.95+1.45</f>
        <v>2.4</v>
      </c>
      <c r="F695" s="252">
        <v>1.45</v>
      </c>
      <c r="G695" s="254" t="str">
        <f t="shared" si="117"/>
        <v>-</v>
      </c>
      <c r="H695" s="254" t="str">
        <f t="shared" si="117"/>
        <v>-</v>
      </c>
      <c r="I695" s="254" t="str">
        <f t="shared" si="117"/>
        <v>-</v>
      </c>
      <c r="J695" s="254" t="str">
        <f t="shared" si="117"/>
        <v>-</v>
      </c>
      <c r="K695" s="254" t="str">
        <f t="shared" si="117"/>
        <v>-</v>
      </c>
      <c r="L695" s="254" t="str">
        <f t="shared" si="117"/>
        <v>-</v>
      </c>
      <c r="M695" s="254" t="str">
        <f t="shared" si="117"/>
        <v>-</v>
      </c>
      <c r="N695" s="255"/>
    </row>
    <row r="696" spans="1:14" s="256" customFormat="1" hidden="1" outlineLevel="2">
      <c r="A696" s="178"/>
      <c r="B696" s="258" t="s">
        <v>201</v>
      </c>
      <c r="C696" s="253" t="s">
        <v>174</v>
      </c>
      <c r="D696" s="173">
        <v>1</v>
      </c>
      <c r="E696" s="252">
        <f>E695+0.4</f>
        <v>2.8</v>
      </c>
      <c r="F696" s="252">
        <v>0.25</v>
      </c>
      <c r="G696" s="254" t="str">
        <f t="shared" si="117"/>
        <v>-</v>
      </c>
      <c r="H696" s="254" t="str">
        <f t="shared" si="117"/>
        <v>-</v>
      </c>
      <c r="I696" s="254" t="str">
        <f t="shared" si="117"/>
        <v>-</v>
      </c>
      <c r="J696" s="254" t="str">
        <f t="shared" si="117"/>
        <v>-</v>
      </c>
      <c r="K696" s="254" t="str">
        <f t="shared" si="117"/>
        <v>-</v>
      </c>
      <c r="L696" s="254" t="str">
        <f t="shared" si="117"/>
        <v>-</v>
      </c>
      <c r="M696" s="254" t="str">
        <f t="shared" si="117"/>
        <v>-</v>
      </c>
      <c r="N696" s="255"/>
    </row>
    <row r="697" spans="1:14" s="256" customFormat="1" hidden="1" outlineLevel="2">
      <c r="A697" s="259"/>
      <c r="B697" s="252"/>
      <c r="C697" s="253"/>
      <c r="D697" s="173"/>
      <c r="E697" s="252"/>
      <c r="F697" s="252"/>
      <c r="G697" s="254" t="str">
        <f t="shared" si="117"/>
        <v>-</v>
      </c>
      <c r="H697" s="254" t="str">
        <f t="shared" si="117"/>
        <v>-</v>
      </c>
      <c r="I697" s="254" t="str">
        <f t="shared" si="117"/>
        <v>-</v>
      </c>
      <c r="J697" s="254" t="str">
        <f t="shared" si="117"/>
        <v>-</v>
      </c>
      <c r="K697" s="254" t="str">
        <f t="shared" si="117"/>
        <v>-</v>
      </c>
      <c r="L697" s="254" t="str">
        <f t="shared" si="117"/>
        <v>-</v>
      </c>
      <c r="M697" s="254" t="str">
        <f t="shared" si="117"/>
        <v>-</v>
      </c>
      <c r="N697" s="255"/>
    </row>
    <row r="698" spans="1:14" s="251" customFormat="1" ht="15" hidden="1" outlineLevel="1" collapsed="1">
      <c r="A698" s="245"/>
      <c r="B698" s="246" t="s">
        <v>259</v>
      </c>
      <c r="C698" s="245"/>
      <c r="D698" s="247">
        <v>1</v>
      </c>
      <c r="E698" s="248"/>
      <c r="F698" s="248"/>
      <c r="G698" s="249">
        <f t="shared" ref="G698:M698" si="118">SUBTOTAL(9,G699:G711)</f>
        <v>32.6</v>
      </c>
      <c r="H698" s="249">
        <f t="shared" si="118"/>
        <v>4.8</v>
      </c>
      <c r="I698" s="249">
        <f t="shared" si="118"/>
        <v>3.38</v>
      </c>
      <c r="J698" s="249">
        <f t="shared" si="118"/>
        <v>0.72</v>
      </c>
      <c r="K698" s="249">
        <f t="shared" si="118"/>
        <v>0</v>
      </c>
      <c r="L698" s="249">
        <f t="shared" si="118"/>
        <v>0</v>
      </c>
      <c r="M698" s="249">
        <f t="shared" si="118"/>
        <v>0</v>
      </c>
      <c r="N698" s="250"/>
    </row>
    <row r="699" spans="1:14" s="256" customFormat="1" hidden="1" outlineLevel="2">
      <c r="A699" s="178"/>
      <c r="B699" s="252" t="s">
        <v>189</v>
      </c>
      <c r="C699" s="253" t="s">
        <v>169</v>
      </c>
      <c r="D699" s="173">
        <v>1</v>
      </c>
      <c r="E699" s="252">
        <v>32.6</v>
      </c>
      <c r="F699" s="252"/>
      <c r="G699" s="254">
        <f t="shared" ref="G699:M711" si="119">IF($C699=G$5,PRODUCT($D699:$F699),"-")</f>
        <v>32.6</v>
      </c>
      <c r="H699" s="254" t="str">
        <f t="shared" si="119"/>
        <v>-</v>
      </c>
      <c r="I699" s="254" t="str">
        <f t="shared" si="119"/>
        <v>-</v>
      </c>
      <c r="J699" s="254" t="str">
        <f t="shared" si="119"/>
        <v>-</v>
      </c>
      <c r="K699" s="254" t="str">
        <f t="shared" si="119"/>
        <v>-</v>
      </c>
      <c r="L699" s="254" t="str">
        <f t="shared" si="119"/>
        <v>-</v>
      </c>
      <c r="M699" s="254" t="str">
        <f t="shared" si="119"/>
        <v>-</v>
      </c>
      <c r="N699" s="255"/>
    </row>
    <row r="700" spans="1:14" s="256" customFormat="1" hidden="1" outlineLevel="2">
      <c r="A700" s="178"/>
      <c r="B700" s="252" t="s">
        <v>190</v>
      </c>
      <c r="C700" s="253" t="s">
        <v>170</v>
      </c>
      <c r="D700" s="173">
        <v>1</v>
      </c>
      <c r="E700" s="252">
        <v>27.8</v>
      </c>
      <c r="F700" s="252"/>
      <c r="G700" s="254" t="str">
        <f t="shared" si="119"/>
        <v>-</v>
      </c>
      <c r="H700" s="254" t="str">
        <f t="shared" si="119"/>
        <v>-</v>
      </c>
      <c r="I700" s="254" t="str">
        <f t="shared" si="119"/>
        <v>-</v>
      </c>
      <c r="J700" s="254" t="str">
        <f t="shared" si="119"/>
        <v>-</v>
      </c>
      <c r="K700" s="254" t="str">
        <f t="shared" si="119"/>
        <v>-</v>
      </c>
      <c r="L700" s="254" t="str">
        <f t="shared" si="119"/>
        <v>-</v>
      </c>
      <c r="M700" s="254" t="str">
        <f t="shared" si="119"/>
        <v>-</v>
      </c>
      <c r="N700" s="255"/>
    </row>
    <row r="701" spans="1:14" s="256" customFormat="1" hidden="1" outlineLevel="2">
      <c r="A701" s="178"/>
      <c r="B701" s="252" t="s">
        <v>193</v>
      </c>
      <c r="C701" s="253" t="s">
        <v>171</v>
      </c>
      <c r="D701" s="173">
        <v>1</v>
      </c>
      <c r="E701" s="252">
        <v>4.8</v>
      </c>
      <c r="F701" s="252"/>
      <c r="G701" s="254" t="str">
        <f t="shared" si="119"/>
        <v>-</v>
      </c>
      <c r="H701" s="254">
        <f t="shared" si="119"/>
        <v>4.8</v>
      </c>
      <c r="I701" s="254" t="str">
        <f t="shared" si="119"/>
        <v>-</v>
      </c>
      <c r="J701" s="254" t="str">
        <f t="shared" si="119"/>
        <v>-</v>
      </c>
      <c r="K701" s="254" t="str">
        <f t="shared" si="119"/>
        <v>-</v>
      </c>
      <c r="L701" s="254" t="str">
        <f t="shared" si="119"/>
        <v>-</v>
      </c>
      <c r="M701" s="254" t="str">
        <f t="shared" si="119"/>
        <v>-</v>
      </c>
      <c r="N701" s="255"/>
    </row>
    <row r="702" spans="1:14" s="256" customFormat="1" hidden="1" outlineLevel="2">
      <c r="A702" s="178"/>
      <c r="B702" s="252" t="s">
        <v>194</v>
      </c>
      <c r="C702" s="253" t="s">
        <v>172</v>
      </c>
      <c r="D702" s="173">
        <v>1</v>
      </c>
      <c r="E702" s="252">
        <v>9.1999999999999993</v>
      </c>
      <c r="F702" s="252"/>
      <c r="G702" s="254" t="str">
        <f t="shared" si="119"/>
        <v>-</v>
      </c>
      <c r="H702" s="254" t="str">
        <f t="shared" si="119"/>
        <v>-</v>
      </c>
      <c r="I702" s="254" t="str">
        <f t="shared" si="119"/>
        <v>-</v>
      </c>
      <c r="J702" s="254" t="str">
        <f t="shared" si="119"/>
        <v>-</v>
      </c>
      <c r="K702" s="254" t="str">
        <f t="shared" si="119"/>
        <v>-</v>
      </c>
      <c r="L702" s="254" t="str">
        <f t="shared" si="119"/>
        <v>-</v>
      </c>
      <c r="M702" s="254" t="str">
        <f t="shared" si="119"/>
        <v>-</v>
      </c>
      <c r="N702" s="255"/>
    </row>
    <row r="703" spans="1:14" s="256" customFormat="1" hidden="1" outlineLevel="2">
      <c r="A703" s="178"/>
      <c r="B703" s="252" t="s">
        <v>196</v>
      </c>
      <c r="C703" s="253" t="s">
        <v>173</v>
      </c>
      <c r="D703" s="173">
        <v>1</v>
      </c>
      <c r="E703" s="252">
        <f>4.1-0.36*2</f>
        <v>3.38</v>
      </c>
      <c r="F703" s="252"/>
      <c r="G703" s="254" t="str">
        <f t="shared" si="119"/>
        <v>-</v>
      </c>
      <c r="H703" s="254" t="str">
        <f t="shared" si="119"/>
        <v>-</v>
      </c>
      <c r="I703" s="254">
        <f t="shared" si="119"/>
        <v>3.38</v>
      </c>
      <c r="J703" s="254" t="str">
        <f t="shared" si="119"/>
        <v>-</v>
      </c>
      <c r="K703" s="254" t="str">
        <f t="shared" si="119"/>
        <v>-</v>
      </c>
      <c r="L703" s="254" t="str">
        <f t="shared" si="119"/>
        <v>-</v>
      </c>
      <c r="M703" s="254" t="str">
        <f t="shared" si="119"/>
        <v>-</v>
      </c>
      <c r="N703" s="255"/>
    </row>
    <row r="704" spans="1:14" s="256" customFormat="1" hidden="1" outlineLevel="2">
      <c r="A704" s="178"/>
      <c r="B704" s="252" t="s">
        <v>197</v>
      </c>
      <c r="C704" s="253" t="s">
        <v>175</v>
      </c>
      <c r="D704" s="173">
        <v>2</v>
      </c>
      <c r="E704" s="252">
        <f>0.3*0.6*2</f>
        <v>0.36</v>
      </c>
      <c r="F704" s="252"/>
      <c r="G704" s="254" t="str">
        <f t="shared" si="119"/>
        <v>-</v>
      </c>
      <c r="H704" s="254" t="str">
        <f t="shared" si="119"/>
        <v>-</v>
      </c>
      <c r="I704" s="254" t="str">
        <f t="shared" si="119"/>
        <v>-</v>
      </c>
      <c r="J704" s="254">
        <f t="shared" si="119"/>
        <v>0.72</v>
      </c>
      <c r="K704" s="254" t="str">
        <f t="shared" si="119"/>
        <v>-</v>
      </c>
      <c r="L704" s="254" t="str">
        <f t="shared" si="119"/>
        <v>-</v>
      </c>
      <c r="M704" s="254" t="str">
        <f t="shared" si="119"/>
        <v>-</v>
      </c>
      <c r="N704" s="255"/>
    </row>
    <row r="705" spans="1:14" s="256" customFormat="1" hidden="1" outlineLevel="2">
      <c r="A705" s="178"/>
      <c r="B705" s="252" t="s">
        <v>198</v>
      </c>
      <c r="C705" s="253" t="s">
        <v>174</v>
      </c>
      <c r="D705" s="173">
        <v>1</v>
      </c>
      <c r="E705" s="252">
        <v>12</v>
      </c>
      <c r="F705" s="252">
        <v>2.2999999999999998</v>
      </c>
      <c r="G705" s="254" t="str">
        <f t="shared" si="119"/>
        <v>-</v>
      </c>
      <c r="H705" s="254" t="str">
        <f t="shared" si="119"/>
        <v>-</v>
      </c>
      <c r="I705" s="254" t="str">
        <f t="shared" si="119"/>
        <v>-</v>
      </c>
      <c r="J705" s="254" t="str">
        <f t="shared" si="119"/>
        <v>-</v>
      </c>
      <c r="K705" s="254" t="str">
        <f t="shared" si="119"/>
        <v>-</v>
      </c>
      <c r="L705" s="254" t="str">
        <f t="shared" si="119"/>
        <v>-</v>
      </c>
      <c r="M705" s="254" t="str">
        <f t="shared" si="119"/>
        <v>-</v>
      </c>
      <c r="N705" s="255"/>
    </row>
    <row r="706" spans="1:14" s="256" customFormat="1" hidden="1" outlineLevel="2">
      <c r="A706" s="178"/>
      <c r="B706" s="257" t="s">
        <v>199</v>
      </c>
      <c r="C706" s="253" t="s">
        <v>174</v>
      </c>
      <c r="D706" s="173">
        <v>-1</v>
      </c>
      <c r="E706" s="252">
        <v>1.5</v>
      </c>
      <c r="F706" s="252">
        <v>1.7</v>
      </c>
      <c r="G706" s="254" t="str">
        <f t="shared" si="119"/>
        <v>-</v>
      </c>
      <c r="H706" s="254" t="str">
        <f t="shared" si="119"/>
        <v>-</v>
      </c>
      <c r="I706" s="254" t="str">
        <f t="shared" si="119"/>
        <v>-</v>
      </c>
      <c r="J706" s="254" t="str">
        <f t="shared" si="119"/>
        <v>-</v>
      </c>
      <c r="K706" s="254" t="str">
        <f t="shared" si="119"/>
        <v>-</v>
      </c>
      <c r="L706" s="254" t="str">
        <f t="shared" si="119"/>
        <v>-</v>
      </c>
      <c r="M706" s="254" t="str">
        <f t="shared" si="119"/>
        <v>-</v>
      </c>
      <c r="N706" s="255"/>
    </row>
    <row r="707" spans="1:14" s="256" customFormat="1" hidden="1" outlineLevel="2">
      <c r="A707" s="178"/>
      <c r="B707" s="257" t="s">
        <v>200</v>
      </c>
      <c r="C707" s="253" t="s">
        <v>174</v>
      </c>
      <c r="D707" s="173">
        <v>-2</v>
      </c>
      <c r="E707" s="252">
        <v>0.85</v>
      </c>
      <c r="F707" s="252">
        <v>0.55000000000000004</v>
      </c>
      <c r="G707" s="254" t="str">
        <f t="shared" si="119"/>
        <v>-</v>
      </c>
      <c r="H707" s="254" t="str">
        <f t="shared" si="119"/>
        <v>-</v>
      </c>
      <c r="I707" s="254" t="str">
        <f t="shared" si="119"/>
        <v>-</v>
      </c>
      <c r="J707" s="254" t="str">
        <f t="shared" si="119"/>
        <v>-</v>
      </c>
      <c r="K707" s="254" t="str">
        <f t="shared" si="119"/>
        <v>-</v>
      </c>
      <c r="L707" s="254" t="str">
        <f t="shared" si="119"/>
        <v>-</v>
      </c>
      <c r="M707" s="254" t="str">
        <f t="shared" si="119"/>
        <v>-</v>
      </c>
      <c r="N707" s="255"/>
    </row>
    <row r="708" spans="1:14" s="256" customFormat="1" hidden="1" outlineLevel="2">
      <c r="A708" s="178"/>
      <c r="B708" s="258" t="s">
        <v>201</v>
      </c>
      <c r="C708" s="253" t="s">
        <v>174</v>
      </c>
      <c r="D708" s="173">
        <v>1</v>
      </c>
      <c r="E708" s="252">
        <v>1.9</v>
      </c>
      <c r="F708" s="252">
        <v>0.25</v>
      </c>
      <c r="G708" s="254" t="str">
        <f t="shared" si="119"/>
        <v>-</v>
      </c>
      <c r="H708" s="254" t="str">
        <f t="shared" si="119"/>
        <v>-</v>
      </c>
      <c r="I708" s="254" t="str">
        <f t="shared" si="119"/>
        <v>-</v>
      </c>
      <c r="J708" s="254" t="str">
        <f t="shared" si="119"/>
        <v>-</v>
      </c>
      <c r="K708" s="254" t="str">
        <f t="shared" si="119"/>
        <v>-</v>
      </c>
      <c r="L708" s="254" t="str">
        <f t="shared" si="119"/>
        <v>-</v>
      </c>
      <c r="M708" s="254" t="str">
        <f t="shared" si="119"/>
        <v>-</v>
      </c>
      <c r="N708" s="255"/>
    </row>
    <row r="709" spans="1:14" s="256" customFormat="1" hidden="1" outlineLevel="2">
      <c r="A709" s="178"/>
      <c r="B709" s="252" t="s">
        <v>202</v>
      </c>
      <c r="C709" s="253" t="s">
        <v>176</v>
      </c>
      <c r="D709" s="173">
        <v>1</v>
      </c>
      <c r="E709" s="252">
        <v>1.9</v>
      </c>
      <c r="F709" s="252">
        <v>1</v>
      </c>
      <c r="G709" s="254" t="str">
        <f t="shared" si="119"/>
        <v>-</v>
      </c>
      <c r="H709" s="254" t="str">
        <f t="shared" si="119"/>
        <v>-</v>
      </c>
      <c r="I709" s="254" t="str">
        <f t="shared" si="119"/>
        <v>-</v>
      </c>
      <c r="J709" s="254" t="str">
        <f t="shared" si="119"/>
        <v>-</v>
      </c>
      <c r="K709" s="254" t="str">
        <f t="shared" si="119"/>
        <v>-</v>
      </c>
      <c r="L709" s="254" t="str">
        <f t="shared" si="119"/>
        <v>-</v>
      </c>
      <c r="M709" s="254" t="str">
        <f t="shared" si="119"/>
        <v>-</v>
      </c>
      <c r="N709" s="255"/>
    </row>
    <row r="710" spans="1:14" s="256" customFormat="1" hidden="1" outlineLevel="2">
      <c r="A710" s="178"/>
      <c r="B710" s="257" t="s">
        <v>203</v>
      </c>
      <c r="C710" s="253" t="s">
        <v>176</v>
      </c>
      <c r="D710" s="173">
        <v>-1</v>
      </c>
      <c r="E710" s="252">
        <v>1.65</v>
      </c>
      <c r="F710" s="252">
        <v>0.7</v>
      </c>
      <c r="G710" s="254" t="str">
        <f t="shared" si="119"/>
        <v>-</v>
      </c>
      <c r="H710" s="254" t="str">
        <f t="shared" si="119"/>
        <v>-</v>
      </c>
      <c r="I710" s="254" t="str">
        <f t="shared" si="119"/>
        <v>-</v>
      </c>
      <c r="J710" s="254" t="str">
        <f t="shared" si="119"/>
        <v>-</v>
      </c>
      <c r="K710" s="254" t="str">
        <f t="shared" si="119"/>
        <v>-</v>
      </c>
      <c r="L710" s="254" t="str">
        <f t="shared" si="119"/>
        <v>-</v>
      </c>
      <c r="M710" s="254" t="str">
        <f t="shared" si="119"/>
        <v>-</v>
      </c>
      <c r="N710" s="255"/>
    </row>
    <row r="711" spans="1:14" s="256" customFormat="1" hidden="1" outlineLevel="2">
      <c r="A711" s="259"/>
      <c r="B711" s="252"/>
      <c r="C711" s="253"/>
      <c r="D711" s="173"/>
      <c r="E711" s="252"/>
      <c r="F711" s="252"/>
      <c r="G711" s="254" t="str">
        <f t="shared" si="119"/>
        <v>-</v>
      </c>
      <c r="H711" s="254" t="str">
        <f t="shared" si="119"/>
        <v>-</v>
      </c>
      <c r="I711" s="254" t="str">
        <f t="shared" si="119"/>
        <v>-</v>
      </c>
      <c r="J711" s="254" t="str">
        <f t="shared" si="119"/>
        <v>-</v>
      </c>
      <c r="K711" s="254" t="str">
        <f t="shared" si="119"/>
        <v>-</v>
      </c>
      <c r="L711" s="254" t="str">
        <f t="shared" si="119"/>
        <v>-</v>
      </c>
      <c r="M711" s="254" t="str">
        <f t="shared" si="119"/>
        <v>-</v>
      </c>
      <c r="N711" s="255"/>
    </row>
    <row r="712" spans="1:14" s="256" customFormat="1" hidden="1" outlineLevel="1">
      <c r="A712" s="260"/>
      <c r="B712" s="261" t="s">
        <v>291</v>
      </c>
      <c r="C712" s="260"/>
      <c r="D712" s="262">
        <v>1</v>
      </c>
      <c r="E712" s="263"/>
      <c r="F712" s="263"/>
      <c r="G712" s="264">
        <f>SUM(G671,G686,G698,)</f>
        <v>76.5</v>
      </c>
      <c r="H712" s="264">
        <f t="shared" ref="H712:M712" si="120">SUM(H671,H686,H698,)</f>
        <v>38</v>
      </c>
      <c r="I712" s="264">
        <f t="shared" si="120"/>
        <v>20.36</v>
      </c>
      <c r="J712" s="264">
        <f t="shared" si="120"/>
        <v>1.08</v>
      </c>
      <c r="K712" s="264">
        <f t="shared" si="120"/>
        <v>0</v>
      </c>
      <c r="L712" s="264">
        <f t="shared" si="120"/>
        <v>0</v>
      </c>
      <c r="M712" s="264">
        <f t="shared" si="120"/>
        <v>0</v>
      </c>
      <c r="N712" s="265" t="s">
        <v>292</v>
      </c>
    </row>
    <row r="713" spans="1:14" s="256" customFormat="1" hidden="1" outlineLevel="1">
      <c r="A713" s="260"/>
      <c r="B713" s="261" t="s">
        <v>293</v>
      </c>
      <c r="C713" s="260"/>
      <c r="D713" s="262">
        <v>1</v>
      </c>
      <c r="E713" s="263"/>
      <c r="F713" s="263"/>
      <c r="G713" s="264">
        <f>G670</f>
        <v>163.80000000000001</v>
      </c>
      <c r="H713" s="264">
        <f t="shared" ref="H713:M713" si="121">H670</f>
        <v>54.4</v>
      </c>
      <c r="I713" s="264">
        <f t="shared" si="121"/>
        <v>33.72</v>
      </c>
      <c r="J713" s="264">
        <f t="shared" si="121"/>
        <v>2.16</v>
      </c>
      <c r="K713" s="264">
        <f t="shared" si="121"/>
        <v>8</v>
      </c>
      <c r="L713" s="264">
        <f t="shared" si="121"/>
        <v>8</v>
      </c>
      <c r="M713" s="264">
        <f t="shared" si="121"/>
        <v>0</v>
      </c>
      <c r="N713" s="265" t="s">
        <v>294</v>
      </c>
    </row>
    <row r="714" spans="1:14" s="251" customFormat="1" ht="15" hidden="1" outlineLevel="1" collapsed="1">
      <c r="A714" s="245"/>
      <c r="B714" s="246" t="s">
        <v>245</v>
      </c>
      <c r="C714" s="245"/>
      <c r="D714" s="247">
        <v>1</v>
      </c>
      <c r="E714" s="248"/>
      <c r="F714" s="248"/>
      <c r="G714" s="249">
        <f t="shared" ref="G714:M714" si="122">SUBTOTAL(9,G715:G718)</f>
        <v>180</v>
      </c>
      <c r="H714" s="249">
        <f t="shared" si="122"/>
        <v>0</v>
      </c>
      <c r="I714" s="249">
        <f t="shared" si="122"/>
        <v>0</v>
      </c>
      <c r="J714" s="249">
        <f t="shared" si="122"/>
        <v>0</v>
      </c>
      <c r="K714" s="249">
        <f t="shared" si="122"/>
        <v>0</v>
      </c>
      <c r="L714" s="249">
        <f t="shared" si="122"/>
        <v>0</v>
      </c>
      <c r="M714" s="249">
        <f t="shared" si="122"/>
        <v>0</v>
      </c>
      <c r="N714" s="250"/>
    </row>
    <row r="715" spans="1:14" s="256" customFormat="1" hidden="1" outlineLevel="2">
      <c r="A715" s="178"/>
      <c r="B715" s="252" t="s">
        <v>189</v>
      </c>
      <c r="C715" s="253" t="s">
        <v>169</v>
      </c>
      <c r="D715" s="173">
        <v>1</v>
      </c>
      <c r="E715" s="252">
        <v>180</v>
      </c>
      <c r="F715" s="252"/>
      <c r="G715" s="254">
        <f t="shared" ref="G715:M718" si="123">IF($C715=G$5,PRODUCT($D715:$F715),"-")</f>
        <v>180</v>
      </c>
      <c r="H715" s="254" t="str">
        <f t="shared" si="123"/>
        <v>-</v>
      </c>
      <c r="I715" s="254" t="str">
        <f t="shared" si="123"/>
        <v>-</v>
      </c>
      <c r="J715" s="254" t="str">
        <f t="shared" si="123"/>
        <v>-</v>
      </c>
      <c r="K715" s="254" t="str">
        <f t="shared" si="123"/>
        <v>-</v>
      </c>
      <c r="L715" s="254" t="str">
        <f t="shared" si="123"/>
        <v>-</v>
      </c>
      <c r="M715" s="254" t="str">
        <f t="shared" si="123"/>
        <v>-</v>
      </c>
      <c r="N715" s="255"/>
    </row>
    <row r="716" spans="1:14" s="256" customFormat="1" hidden="1" outlineLevel="2">
      <c r="A716" s="178"/>
      <c r="B716" s="252" t="s">
        <v>190</v>
      </c>
      <c r="C716" s="253" t="s">
        <v>170</v>
      </c>
      <c r="D716" s="173">
        <v>1</v>
      </c>
      <c r="E716" s="252">
        <v>211</v>
      </c>
      <c r="F716" s="252"/>
      <c r="G716" s="254" t="str">
        <f t="shared" si="123"/>
        <v>-</v>
      </c>
      <c r="H716" s="254" t="str">
        <f t="shared" si="123"/>
        <v>-</v>
      </c>
      <c r="I716" s="254" t="str">
        <f t="shared" si="123"/>
        <v>-</v>
      </c>
      <c r="J716" s="254" t="str">
        <f t="shared" si="123"/>
        <v>-</v>
      </c>
      <c r="K716" s="254" t="str">
        <f t="shared" si="123"/>
        <v>-</v>
      </c>
      <c r="L716" s="254" t="str">
        <f t="shared" si="123"/>
        <v>-</v>
      </c>
      <c r="M716" s="254" t="str">
        <f t="shared" si="123"/>
        <v>-</v>
      </c>
      <c r="N716" s="255"/>
    </row>
    <row r="717" spans="1:14" s="256" customFormat="1" hidden="1" outlineLevel="2">
      <c r="A717" s="178"/>
      <c r="B717" s="266" t="s">
        <v>247</v>
      </c>
      <c r="C717" s="253" t="s">
        <v>170</v>
      </c>
      <c r="D717" s="173">
        <v>-2</v>
      </c>
      <c r="E717" s="252">
        <f>8.7+1*2+0.8*12+1.25*2</f>
        <v>22.8</v>
      </c>
      <c r="F717" s="252"/>
      <c r="G717" s="254" t="str">
        <f t="shared" si="123"/>
        <v>-</v>
      </c>
      <c r="H717" s="254" t="str">
        <f t="shared" si="123"/>
        <v>-</v>
      </c>
      <c r="I717" s="254" t="str">
        <f t="shared" si="123"/>
        <v>-</v>
      </c>
      <c r="J717" s="254" t="str">
        <f t="shared" si="123"/>
        <v>-</v>
      </c>
      <c r="K717" s="254" t="str">
        <f t="shared" si="123"/>
        <v>-</v>
      </c>
      <c r="L717" s="254" t="str">
        <f t="shared" si="123"/>
        <v>-</v>
      </c>
      <c r="M717" s="254" t="str">
        <f t="shared" si="123"/>
        <v>-</v>
      </c>
      <c r="N717" s="255"/>
    </row>
    <row r="718" spans="1:14" s="256" customFormat="1" hidden="1" outlineLevel="2">
      <c r="A718" s="259"/>
      <c r="B718" s="252"/>
      <c r="C718" s="253"/>
      <c r="D718" s="173"/>
      <c r="E718" s="252"/>
      <c r="F718" s="252"/>
      <c r="G718" s="254" t="str">
        <f t="shared" si="123"/>
        <v>-</v>
      </c>
      <c r="H718" s="254" t="str">
        <f t="shared" si="123"/>
        <v>-</v>
      </c>
      <c r="I718" s="254" t="str">
        <f t="shared" si="123"/>
        <v>-</v>
      </c>
      <c r="J718" s="254" t="str">
        <f t="shared" si="123"/>
        <v>-</v>
      </c>
      <c r="K718" s="254" t="str">
        <f t="shared" si="123"/>
        <v>-</v>
      </c>
      <c r="L718" s="254" t="str">
        <f t="shared" si="123"/>
        <v>-</v>
      </c>
      <c r="M718" s="254" t="str">
        <f t="shared" si="123"/>
        <v>-</v>
      </c>
      <c r="N718" s="255"/>
    </row>
    <row r="719" spans="1:14" s="236" customFormat="1" ht="15" hidden="1" outlineLevel="1">
      <c r="A719" s="230"/>
      <c r="B719" s="231" t="s">
        <v>295</v>
      </c>
      <c r="C719" s="230"/>
      <c r="D719" s="232">
        <v>11</v>
      </c>
      <c r="E719" s="233"/>
      <c r="F719" s="233"/>
      <c r="G719" s="234">
        <f t="shared" ref="G719:M719" si="124">G668*$D719</f>
        <v>10106.799999999999</v>
      </c>
      <c r="H719" s="234">
        <f t="shared" si="124"/>
        <v>2987.5999999999995</v>
      </c>
      <c r="I719" s="234">
        <f t="shared" si="124"/>
        <v>2043.7999999999997</v>
      </c>
      <c r="J719" s="234">
        <f t="shared" si="124"/>
        <v>102.96</v>
      </c>
      <c r="K719" s="234">
        <f t="shared" si="124"/>
        <v>286</v>
      </c>
      <c r="L719" s="234">
        <f t="shared" si="124"/>
        <v>286</v>
      </c>
      <c r="M719" s="234">
        <f t="shared" si="124"/>
        <v>22</v>
      </c>
      <c r="N719" s="235" t="s">
        <v>296</v>
      </c>
    </row>
    <row r="720" spans="1:14" s="244" customFormat="1" ht="15" collapsed="1">
      <c r="A720" s="237"/>
      <c r="B720" s="238" t="s">
        <v>297</v>
      </c>
      <c r="C720" s="237"/>
      <c r="D720" s="239">
        <v>1</v>
      </c>
      <c r="E720" s="240"/>
      <c r="F720" s="241"/>
      <c r="G720" s="242">
        <f>SUBTOTAL(9,G721:G956)</f>
        <v>944.8</v>
      </c>
      <c r="H720" s="242">
        <f t="shared" ref="H720:M720" si="125">SUBTOTAL(9,H721:H956)</f>
        <v>289.7</v>
      </c>
      <c r="I720" s="242">
        <f t="shared" si="125"/>
        <v>178.23999999999998</v>
      </c>
      <c r="J720" s="242">
        <f t="shared" si="125"/>
        <v>9.7199999999999971</v>
      </c>
      <c r="K720" s="242">
        <f t="shared" si="125"/>
        <v>4.8499999999999996</v>
      </c>
      <c r="L720" s="242">
        <f t="shared" si="125"/>
        <v>2</v>
      </c>
      <c r="M720" s="242">
        <f t="shared" si="125"/>
        <v>0</v>
      </c>
      <c r="N720" s="243"/>
    </row>
    <row r="721" spans="1:14" s="251" customFormat="1" ht="15" hidden="1" outlineLevel="1" collapsed="1">
      <c r="A721" s="245"/>
      <c r="B721" s="246" t="s">
        <v>188</v>
      </c>
      <c r="C721" s="245"/>
      <c r="D721" s="247">
        <v>1</v>
      </c>
      <c r="E721" s="248"/>
      <c r="F721" s="248"/>
      <c r="G721" s="249">
        <f t="shared" ref="G721:M721" si="126">SUBTOTAL(9,G722:G739)</f>
        <v>26.2</v>
      </c>
      <c r="H721" s="249">
        <f t="shared" si="126"/>
        <v>26.6</v>
      </c>
      <c r="I721" s="249">
        <f t="shared" si="126"/>
        <v>4.54</v>
      </c>
      <c r="J721" s="249">
        <f t="shared" si="126"/>
        <v>0.36</v>
      </c>
      <c r="K721" s="249">
        <f t="shared" si="126"/>
        <v>0</v>
      </c>
      <c r="L721" s="249">
        <f t="shared" si="126"/>
        <v>0</v>
      </c>
      <c r="M721" s="249">
        <f t="shared" si="126"/>
        <v>0</v>
      </c>
      <c r="N721" s="250"/>
    </row>
    <row r="722" spans="1:14" s="256" customFormat="1" hidden="1" outlineLevel="2">
      <c r="A722" s="178"/>
      <c r="B722" s="252" t="s">
        <v>189</v>
      </c>
      <c r="C722" s="253" t="s">
        <v>169</v>
      </c>
      <c r="D722" s="173">
        <v>1</v>
      </c>
      <c r="E722" s="252">
        <v>26.2</v>
      </c>
      <c r="F722" s="252"/>
      <c r="G722" s="254">
        <f t="shared" ref="G722:M746" si="127">IF($C722=G$5,PRODUCT($D722:$F722),"-")</f>
        <v>26.2</v>
      </c>
      <c r="H722" s="254" t="str">
        <f t="shared" si="127"/>
        <v>-</v>
      </c>
      <c r="I722" s="254" t="str">
        <f t="shared" si="127"/>
        <v>-</v>
      </c>
      <c r="J722" s="254" t="str">
        <f t="shared" si="127"/>
        <v>-</v>
      </c>
      <c r="K722" s="254" t="str">
        <f t="shared" si="127"/>
        <v>-</v>
      </c>
      <c r="L722" s="254" t="str">
        <f t="shared" si="127"/>
        <v>-</v>
      </c>
      <c r="M722" s="254" t="str">
        <f t="shared" si="127"/>
        <v>-</v>
      </c>
      <c r="N722" s="255"/>
    </row>
    <row r="723" spans="1:14" s="256" customFormat="1" hidden="1" outlineLevel="2">
      <c r="A723" s="178"/>
      <c r="B723" s="252" t="s">
        <v>190</v>
      </c>
      <c r="C723" s="253" t="s">
        <v>170</v>
      </c>
      <c r="D723" s="173">
        <v>1</v>
      </c>
      <c r="E723" s="252">
        <v>23.4</v>
      </c>
      <c r="F723" s="252"/>
      <c r="G723" s="254" t="str">
        <f t="shared" si="127"/>
        <v>-</v>
      </c>
      <c r="H723" s="254" t="str">
        <f t="shared" si="127"/>
        <v>-</v>
      </c>
      <c r="I723" s="254" t="str">
        <f t="shared" si="127"/>
        <v>-</v>
      </c>
      <c r="J723" s="254" t="str">
        <f t="shared" si="127"/>
        <v>-</v>
      </c>
      <c r="K723" s="254" t="str">
        <f t="shared" si="127"/>
        <v>-</v>
      </c>
      <c r="L723" s="254" t="str">
        <f t="shared" si="127"/>
        <v>-</v>
      </c>
      <c r="M723" s="254" t="str">
        <f t="shared" si="127"/>
        <v>-</v>
      </c>
      <c r="N723" s="255"/>
    </row>
    <row r="724" spans="1:14" s="256" customFormat="1" hidden="1" outlineLevel="2">
      <c r="A724" s="178"/>
      <c r="B724" s="257" t="s">
        <v>191</v>
      </c>
      <c r="C724" s="253" t="s">
        <v>170</v>
      </c>
      <c r="D724" s="173">
        <v>-2</v>
      </c>
      <c r="E724" s="252">
        <v>1</v>
      </c>
      <c r="F724" s="252"/>
      <c r="G724" s="254" t="str">
        <f t="shared" si="127"/>
        <v>-</v>
      </c>
      <c r="H724" s="254" t="str">
        <f t="shared" si="127"/>
        <v>-</v>
      </c>
      <c r="I724" s="254" t="str">
        <f t="shared" si="127"/>
        <v>-</v>
      </c>
      <c r="J724" s="254" t="str">
        <f t="shared" si="127"/>
        <v>-</v>
      </c>
      <c r="K724" s="254" t="str">
        <f t="shared" si="127"/>
        <v>-</v>
      </c>
      <c r="L724" s="254" t="str">
        <f t="shared" si="127"/>
        <v>-</v>
      </c>
      <c r="M724" s="254" t="str">
        <f t="shared" si="127"/>
        <v>-</v>
      </c>
      <c r="N724" s="255"/>
    </row>
    <row r="725" spans="1:14" s="256" customFormat="1" hidden="1" outlineLevel="2">
      <c r="A725" s="178"/>
      <c r="B725" s="257" t="s">
        <v>192</v>
      </c>
      <c r="C725" s="253" t="s">
        <v>170</v>
      </c>
      <c r="D725" s="173">
        <v>-1</v>
      </c>
      <c r="E725" s="252">
        <v>2.8</v>
      </c>
      <c r="F725" s="252"/>
      <c r="G725" s="254" t="str">
        <f t="shared" si="127"/>
        <v>-</v>
      </c>
      <c r="H725" s="254" t="str">
        <f t="shared" si="127"/>
        <v>-</v>
      </c>
      <c r="I725" s="254" t="str">
        <f t="shared" si="127"/>
        <v>-</v>
      </c>
      <c r="J725" s="254" t="str">
        <f t="shared" si="127"/>
        <v>-</v>
      </c>
      <c r="K725" s="254" t="str">
        <f t="shared" si="127"/>
        <v>-</v>
      </c>
      <c r="L725" s="254" t="str">
        <f t="shared" si="127"/>
        <v>-</v>
      </c>
      <c r="M725" s="254" t="str">
        <f t="shared" si="127"/>
        <v>-</v>
      </c>
      <c r="N725" s="255"/>
    </row>
    <row r="726" spans="1:14" s="256" customFormat="1" hidden="1" outlineLevel="2">
      <c r="A726" s="178"/>
      <c r="B726" s="252" t="s">
        <v>193</v>
      </c>
      <c r="C726" s="253" t="s">
        <v>171</v>
      </c>
      <c r="D726" s="173">
        <v>1</v>
      </c>
      <c r="E726" s="252">
        <v>26.6</v>
      </c>
      <c r="F726" s="252"/>
      <c r="G726" s="254" t="str">
        <f t="shared" si="127"/>
        <v>-</v>
      </c>
      <c r="H726" s="254">
        <f t="shared" si="127"/>
        <v>26.6</v>
      </c>
      <c r="I726" s="254" t="str">
        <f t="shared" si="127"/>
        <v>-</v>
      </c>
      <c r="J726" s="254" t="str">
        <f t="shared" si="127"/>
        <v>-</v>
      </c>
      <c r="K726" s="254" t="str">
        <f t="shared" si="127"/>
        <v>-</v>
      </c>
      <c r="L726" s="254" t="str">
        <f t="shared" si="127"/>
        <v>-</v>
      </c>
      <c r="M726" s="254" t="str">
        <f t="shared" si="127"/>
        <v>-</v>
      </c>
      <c r="N726" s="255"/>
    </row>
    <row r="727" spans="1:14" s="256" customFormat="1" hidden="1" outlineLevel="2">
      <c r="A727" s="178"/>
      <c r="B727" s="252" t="s">
        <v>194</v>
      </c>
      <c r="C727" s="253" t="s">
        <v>172</v>
      </c>
      <c r="D727" s="173">
        <v>1</v>
      </c>
      <c r="E727" s="252">
        <v>29.6</v>
      </c>
      <c r="F727" s="252"/>
      <c r="G727" s="254" t="str">
        <f t="shared" si="127"/>
        <v>-</v>
      </c>
      <c r="H727" s="254" t="str">
        <f t="shared" si="127"/>
        <v>-</v>
      </c>
      <c r="I727" s="254" t="str">
        <f t="shared" si="127"/>
        <v>-</v>
      </c>
      <c r="J727" s="254" t="str">
        <f t="shared" si="127"/>
        <v>-</v>
      </c>
      <c r="K727" s="254" t="str">
        <f t="shared" si="127"/>
        <v>-</v>
      </c>
      <c r="L727" s="254" t="str">
        <f t="shared" si="127"/>
        <v>-</v>
      </c>
      <c r="M727" s="254" t="str">
        <f t="shared" si="127"/>
        <v>-</v>
      </c>
      <c r="N727" s="255"/>
    </row>
    <row r="728" spans="1:14" s="256" customFormat="1" hidden="1" outlineLevel="2">
      <c r="A728" s="178"/>
      <c r="B728" s="257" t="s">
        <v>191</v>
      </c>
      <c r="C728" s="253" t="s">
        <v>172</v>
      </c>
      <c r="D728" s="173">
        <v>-3</v>
      </c>
      <c r="E728" s="252">
        <v>0.9</v>
      </c>
      <c r="F728" s="252"/>
      <c r="G728" s="254" t="str">
        <f t="shared" si="127"/>
        <v>-</v>
      </c>
      <c r="H728" s="254" t="str">
        <f t="shared" si="127"/>
        <v>-</v>
      </c>
      <c r="I728" s="254" t="str">
        <f t="shared" si="127"/>
        <v>-</v>
      </c>
      <c r="J728" s="254" t="str">
        <f t="shared" si="127"/>
        <v>-</v>
      </c>
      <c r="K728" s="254" t="str">
        <f t="shared" si="127"/>
        <v>-</v>
      </c>
      <c r="L728" s="254" t="str">
        <f t="shared" si="127"/>
        <v>-</v>
      </c>
      <c r="M728" s="254" t="str">
        <f t="shared" si="127"/>
        <v>-</v>
      </c>
      <c r="N728" s="255"/>
    </row>
    <row r="729" spans="1:14" s="256" customFormat="1" hidden="1" outlineLevel="2">
      <c r="A729" s="178"/>
      <c r="B729" s="257" t="s">
        <v>195</v>
      </c>
      <c r="C729" s="253" t="s">
        <v>172</v>
      </c>
      <c r="D729" s="173">
        <v>-2</v>
      </c>
      <c r="E729" s="252">
        <v>1.8</v>
      </c>
      <c r="F729" s="252"/>
      <c r="G729" s="254" t="str">
        <f t="shared" si="127"/>
        <v>-</v>
      </c>
      <c r="H729" s="254" t="str">
        <f t="shared" si="127"/>
        <v>-</v>
      </c>
      <c r="I729" s="254" t="str">
        <f t="shared" si="127"/>
        <v>-</v>
      </c>
      <c r="J729" s="254" t="str">
        <f t="shared" si="127"/>
        <v>-</v>
      </c>
      <c r="K729" s="254" t="str">
        <f t="shared" si="127"/>
        <v>-</v>
      </c>
      <c r="L729" s="254" t="str">
        <f t="shared" si="127"/>
        <v>-</v>
      </c>
      <c r="M729" s="254" t="str">
        <f t="shared" si="127"/>
        <v>-</v>
      </c>
      <c r="N729" s="255"/>
    </row>
    <row r="730" spans="1:14" s="256" customFormat="1" hidden="1" outlineLevel="2">
      <c r="A730" s="178"/>
      <c r="B730" s="252" t="s">
        <v>196</v>
      </c>
      <c r="C730" s="253" t="s">
        <v>173</v>
      </c>
      <c r="D730" s="173">
        <v>1</v>
      </c>
      <c r="E730" s="252">
        <f>4.9-0.18*2</f>
        <v>4.54</v>
      </c>
      <c r="F730" s="252"/>
      <c r="G730" s="254" t="str">
        <f t="shared" si="127"/>
        <v>-</v>
      </c>
      <c r="H730" s="254" t="str">
        <f t="shared" si="127"/>
        <v>-</v>
      </c>
      <c r="I730" s="254">
        <f t="shared" si="127"/>
        <v>4.54</v>
      </c>
      <c r="J730" s="254" t="str">
        <f t="shared" si="127"/>
        <v>-</v>
      </c>
      <c r="K730" s="254" t="str">
        <f t="shared" si="127"/>
        <v>-</v>
      </c>
      <c r="L730" s="254" t="str">
        <f t="shared" si="127"/>
        <v>-</v>
      </c>
      <c r="M730" s="254" t="str">
        <f t="shared" si="127"/>
        <v>-</v>
      </c>
      <c r="N730" s="255"/>
    </row>
    <row r="731" spans="1:14" s="256" customFormat="1" hidden="1" outlineLevel="2">
      <c r="A731" s="178"/>
      <c r="B731" s="252" t="s">
        <v>197</v>
      </c>
      <c r="C731" s="253" t="s">
        <v>175</v>
      </c>
      <c r="D731" s="173">
        <v>1</v>
      </c>
      <c r="E731" s="252">
        <f>0.3*0.6*2</f>
        <v>0.36</v>
      </c>
      <c r="F731" s="252"/>
      <c r="G731" s="254" t="str">
        <f t="shared" si="127"/>
        <v>-</v>
      </c>
      <c r="H731" s="254" t="str">
        <f t="shared" si="127"/>
        <v>-</v>
      </c>
      <c r="I731" s="254" t="str">
        <f t="shared" si="127"/>
        <v>-</v>
      </c>
      <c r="J731" s="254">
        <f t="shared" si="127"/>
        <v>0.36</v>
      </c>
      <c r="K731" s="254" t="str">
        <f t="shared" si="127"/>
        <v>-</v>
      </c>
      <c r="L731" s="254" t="str">
        <f t="shared" si="127"/>
        <v>-</v>
      </c>
      <c r="M731" s="254" t="str">
        <f t="shared" si="127"/>
        <v>-</v>
      </c>
      <c r="N731" s="255"/>
    </row>
    <row r="732" spans="1:14" s="256" customFormat="1" hidden="1" outlineLevel="2">
      <c r="A732" s="178"/>
      <c r="B732" s="252" t="s">
        <v>198</v>
      </c>
      <c r="C732" s="253" t="s">
        <v>174</v>
      </c>
      <c r="D732" s="173">
        <v>1</v>
      </c>
      <c r="E732" s="252">
        <v>12.4</v>
      </c>
      <c r="F732" s="252">
        <v>2.2999999999999998</v>
      </c>
      <c r="G732" s="254" t="str">
        <f t="shared" si="127"/>
        <v>-</v>
      </c>
      <c r="H732" s="254" t="str">
        <f t="shared" si="127"/>
        <v>-</v>
      </c>
      <c r="I732" s="254" t="str">
        <f t="shared" si="127"/>
        <v>-</v>
      </c>
      <c r="J732" s="254" t="str">
        <f t="shared" si="127"/>
        <v>-</v>
      </c>
      <c r="K732" s="254" t="str">
        <f t="shared" si="127"/>
        <v>-</v>
      </c>
      <c r="L732" s="254" t="str">
        <f t="shared" si="127"/>
        <v>-</v>
      </c>
      <c r="M732" s="254" t="str">
        <f t="shared" si="127"/>
        <v>-</v>
      </c>
      <c r="N732" s="255"/>
    </row>
    <row r="733" spans="1:14" s="256" customFormat="1" hidden="1" outlineLevel="2">
      <c r="A733" s="178"/>
      <c r="B733" s="257" t="s">
        <v>191</v>
      </c>
      <c r="C733" s="253" t="s">
        <v>174</v>
      </c>
      <c r="D733" s="173">
        <v>-1</v>
      </c>
      <c r="E733" s="252">
        <v>0.8</v>
      </c>
      <c r="F733" s="252">
        <v>2.2200000000000002</v>
      </c>
      <c r="G733" s="254" t="str">
        <f t="shared" si="127"/>
        <v>-</v>
      </c>
      <c r="H733" s="254" t="str">
        <f t="shared" si="127"/>
        <v>-</v>
      </c>
      <c r="I733" s="254" t="str">
        <f t="shared" si="127"/>
        <v>-</v>
      </c>
      <c r="J733" s="254" t="str">
        <f t="shared" si="127"/>
        <v>-</v>
      </c>
      <c r="K733" s="254" t="str">
        <f t="shared" si="127"/>
        <v>-</v>
      </c>
      <c r="L733" s="254" t="str">
        <f t="shared" si="127"/>
        <v>-</v>
      </c>
      <c r="M733" s="254" t="str">
        <f t="shared" si="127"/>
        <v>-</v>
      </c>
      <c r="N733" s="255"/>
    </row>
    <row r="734" spans="1:14" s="256" customFormat="1" hidden="1" outlineLevel="2">
      <c r="A734" s="178"/>
      <c r="B734" s="257" t="s">
        <v>199</v>
      </c>
      <c r="C734" s="253" t="s">
        <v>174</v>
      </c>
      <c r="D734" s="173">
        <v>-1</v>
      </c>
      <c r="E734" s="252">
        <v>1.45</v>
      </c>
      <c r="F734" s="252">
        <v>1.7</v>
      </c>
      <c r="G734" s="254" t="str">
        <f t="shared" si="127"/>
        <v>-</v>
      </c>
      <c r="H734" s="254" t="str">
        <f t="shared" si="127"/>
        <v>-</v>
      </c>
      <c r="I734" s="254" t="str">
        <f t="shared" si="127"/>
        <v>-</v>
      </c>
      <c r="J734" s="254" t="str">
        <f t="shared" si="127"/>
        <v>-</v>
      </c>
      <c r="K734" s="254" t="str">
        <f t="shared" si="127"/>
        <v>-</v>
      </c>
      <c r="L734" s="254" t="str">
        <f t="shared" si="127"/>
        <v>-</v>
      </c>
      <c r="M734" s="254" t="str">
        <f t="shared" si="127"/>
        <v>-</v>
      </c>
      <c r="N734" s="255"/>
    </row>
    <row r="735" spans="1:14" s="256" customFormat="1" hidden="1" outlineLevel="2">
      <c r="A735" s="178"/>
      <c r="B735" s="257" t="s">
        <v>200</v>
      </c>
      <c r="C735" s="253" t="s">
        <v>174</v>
      </c>
      <c r="D735" s="173">
        <v>-2</v>
      </c>
      <c r="E735" s="252">
        <v>0.85</v>
      </c>
      <c r="F735" s="252">
        <v>0.55000000000000004</v>
      </c>
      <c r="G735" s="254" t="str">
        <f t="shared" si="127"/>
        <v>-</v>
      </c>
      <c r="H735" s="254" t="str">
        <f t="shared" si="127"/>
        <v>-</v>
      </c>
      <c r="I735" s="254" t="str">
        <f t="shared" si="127"/>
        <v>-</v>
      </c>
      <c r="J735" s="254" t="str">
        <f t="shared" si="127"/>
        <v>-</v>
      </c>
      <c r="K735" s="254" t="str">
        <f t="shared" si="127"/>
        <v>-</v>
      </c>
      <c r="L735" s="254" t="str">
        <f t="shared" si="127"/>
        <v>-</v>
      </c>
      <c r="M735" s="254" t="str">
        <f t="shared" si="127"/>
        <v>-</v>
      </c>
      <c r="N735" s="255"/>
    </row>
    <row r="736" spans="1:14" s="256" customFormat="1" hidden="1" outlineLevel="2">
      <c r="A736" s="178"/>
      <c r="B736" s="258" t="s">
        <v>201</v>
      </c>
      <c r="C736" s="253" t="s">
        <v>174</v>
      </c>
      <c r="D736" s="173">
        <v>1</v>
      </c>
      <c r="E736" s="252">
        <v>1.85</v>
      </c>
      <c r="F736" s="252">
        <v>0.25</v>
      </c>
      <c r="G736" s="254" t="str">
        <f t="shared" si="127"/>
        <v>-</v>
      </c>
      <c r="H736" s="254" t="str">
        <f t="shared" si="127"/>
        <v>-</v>
      </c>
      <c r="I736" s="254" t="str">
        <f t="shared" si="127"/>
        <v>-</v>
      </c>
      <c r="J736" s="254" t="str">
        <f t="shared" si="127"/>
        <v>-</v>
      </c>
      <c r="K736" s="254" t="str">
        <f t="shared" si="127"/>
        <v>-</v>
      </c>
      <c r="L736" s="254" t="str">
        <f t="shared" si="127"/>
        <v>-</v>
      </c>
      <c r="M736" s="254" t="str">
        <f t="shared" si="127"/>
        <v>-</v>
      </c>
      <c r="N736" s="255"/>
    </row>
    <row r="737" spans="1:14" s="256" customFormat="1" hidden="1" outlineLevel="2">
      <c r="A737" s="178"/>
      <c r="B737" s="252" t="s">
        <v>202</v>
      </c>
      <c r="C737" s="253" t="s">
        <v>176</v>
      </c>
      <c r="D737" s="173">
        <v>1</v>
      </c>
      <c r="E737" s="252">
        <v>1.85</v>
      </c>
      <c r="F737" s="252">
        <v>0.85</v>
      </c>
      <c r="G737" s="254" t="str">
        <f t="shared" si="127"/>
        <v>-</v>
      </c>
      <c r="H737" s="254" t="str">
        <f t="shared" si="127"/>
        <v>-</v>
      </c>
      <c r="I737" s="254" t="str">
        <f t="shared" si="127"/>
        <v>-</v>
      </c>
      <c r="J737" s="254" t="str">
        <f t="shared" si="127"/>
        <v>-</v>
      </c>
      <c r="K737" s="254" t="str">
        <f t="shared" si="127"/>
        <v>-</v>
      </c>
      <c r="L737" s="254" t="str">
        <f t="shared" si="127"/>
        <v>-</v>
      </c>
      <c r="M737" s="254" t="str">
        <f t="shared" si="127"/>
        <v>-</v>
      </c>
      <c r="N737" s="255"/>
    </row>
    <row r="738" spans="1:14" s="256" customFormat="1" hidden="1" outlineLevel="2">
      <c r="A738" s="178"/>
      <c r="B738" s="257" t="s">
        <v>203</v>
      </c>
      <c r="C738" s="253" t="s">
        <v>176</v>
      </c>
      <c r="D738" s="173">
        <v>-1</v>
      </c>
      <c r="E738" s="252">
        <v>1.45</v>
      </c>
      <c r="F738" s="252">
        <v>0.6</v>
      </c>
      <c r="G738" s="254" t="str">
        <f t="shared" si="127"/>
        <v>-</v>
      </c>
      <c r="H738" s="254" t="str">
        <f t="shared" si="127"/>
        <v>-</v>
      </c>
      <c r="I738" s="254" t="str">
        <f t="shared" si="127"/>
        <v>-</v>
      </c>
      <c r="J738" s="254" t="str">
        <f t="shared" si="127"/>
        <v>-</v>
      </c>
      <c r="K738" s="254" t="str">
        <f t="shared" si="127"/>
        <v>-</v>
      </c>
      <c r="L738" s="254" t="str">
        <f t="shared" si="127"/>
        <v>-</v>
      </c>
      <c r="M738" s="254" t="str">
        <f t="shared" si="127"/>
        <v>-</v>
      </c>
      <c r="N738" s="255"/>
    </row>
    <row r="739" spans="1:14" s="256" customFormat="1" hidden="1" outlineLevel="2">
      <c r="A739" s="259"/>
      <c r="B739" s="252"/>
      <c r="C739" s="253"/>
      <c r="D739" s="173"/>
      <c r="E739" s="252"/>
      <c r="F739" s="252"/>
      <c r="G739" s="254" t="str">
        <f t="shared" si="127"/>
        <v>-</v>
      </c>
      <c r="H739" s="254" t="str">
        <f t="shared" si="127"/>
        <v>-</v>
      </c>
      <c r="I739" s="254" t="str">
        <f t="shared" si="127"/>
        <v>-</v>
      </c>
      <c r="J739" s="254" t="str">
        <f t="shared" si="127"/>
        <v>-</v>
      </c>
      <c r="K739" s="254" t="str">
        <f t="shared" si="127"/>
        <v>-</v>
      </c>
      <c r="L739" s="254" t="str">
        <f t="shared" si="127"/>
        <v>-</v>
      </c>
      <c r="M739" s="254" t="str">
        <f t="shared" si="127"/>
        <v>-</v>
      </c>
      <c r="N739" s="255"/>
    </row>
    <row r="740" spans="1:14" s="251" customFormat="1" ht="15" hidden="1" outlineLevel="1" collapsed="1">
      <c r="A740" s="245"/>
      <c r="B740" s="246" t="s">
        <v>206</v>
      </c>
      <c r="C740" s="245"/>
      <c r="D740" s="247">
        <v>1</v>
      </c>
      <c r="E740" s="248"/>
      <c r="F740" s="248"/>
      <c r="G740" s="249">
        <f t="shared" ref="G740:M740" si="128">SUBTOTAL(9,G741:G756)</f>
        <v>40.200000000000003</v>
      </c>
      <c r="H740" s="249">
        <f t="shared" si="128"/>
        <v>0</v>
      </c>
      <c r="I740" s="249">
        <f t="shared" si="128"/>
        <v>6.4399999999999995</v>
      </c>
      <c r="J740" s="249">
        <f t="shared" si="128"/>
        <v>0.36</v>
      </c>
      <c r="K740" s="249">
        <f t="shared" si="128"/>
        <v>1.25</v>
      </c>
      <c r="L740" s="249">
        <f t="shared" si="128"/>
        <v>0</v>
      </c>
      <c r="M740" s="249">
        <f t="shared" si="128"/>
        <v>0</v>
      </c>
      <c r="N740" s="250"/>
    </row>
    <row r="741" spans="1:14" s="256" customFormat="1" hidden="1" outlineLevel="2">
      <c r="A741" s="178"/>
      <c r="B741" s="252" t="s">
        <v>189</v>
      </c>
      <c r="C741" s="253" t="s">
        <v>169</v>
      </c>
      <c r="D741" s="173">
        <v>1</v>
      </c>
      <c r="E741" s="252">
        <f>18.2+22</f>
        <v>40.200000000000003</v>
      </c>
      <c r="F741" s="252"/>
      <c r="G741" s="254">
        <f t="shared" si="127"/>
        <v>40.200000000000003</v>
      </c>
      <c r="H741" s="254" t="str">
        <f t="shared" si="127"/>
        <v>-</v>
      </c>
      <c r="I741" s="254" t="str">
        <f t="shared" si="127"/>
        <v>-</v>
      </c>
      <c r="J741" s="254" t="str">
        <f t="shared" si="127"/>
        <v>-</v>
      </c>
      <c r="K741" s="254" t="str">
        <f t="shared" si="127"/>
        <v>-</v>
      </c>
      <c r="L741" s="254" t="str">
        <f t="shared" si="127"/>
        <v>-</v>
      </c>
      <c r="M741" s="254" t="str">
        <f t="shared" si="127"/>
        <v>-</v>
      </c>
      <c r="N741" s="255"/>
    </row>
    <row r="742" spans="1:14" s="256" customFormat="1" hidden="1" outlineLevel="2">
      <c r="A742" s="178"/>
      <c r="B742" s="252" t="s">
        <v>190</v>
      </c>
      <c r="C742" s="253" t="s">
        <v>170</v>
      </c>
      <c r="D742" s="173">
        <v>1</v>
      </c>
      <c r="E742" s="252">
        <f>27+21.2</f>
        <v>48.2</v>
      </c>
      <c r="F742" s="252"/>
      <c r="G742" s="254" t="str">
        <f t="shared" si="127"/>
        <v>-</v>
      </c>
      <c r="H742" s="254" t="str">
        <f t="shared" si="127"/>
        <v>-</v>
      </c>
      <c r="I742" s="254" t="str">
        <f t="shared" si="127"/>
        <v>-</v>
      </c>
      <c r="J742" s="254" t="str">
        <f t="shared" si="127"/>
        <v>-</v>
      </c>
      <c r="K742" s="254" t="str">
        <f t="shared" si="127"/>
        <v>-</v>
      </c>
      <c r="L742" s="254" t="str">
        <f t="shared" si="127"/>
        <v>-</v>
      </c>
      <c r="M742" s="254" t="str">
        <f t="shared" si="127"/>
        <v>-</v>
      </c>
      <c r="N742" s="255"/>
    </row>
    <row r="743" spans="1:14" s="256" customFormat="1" hidden="1" outlineLevel="2">
      <c r="A743" s="178"/>
      <c r="B743" s="257" t="s">
        <v>191</v>
      </c>
      <c r="C743" s="253" t="s">
        <v>170</v>
      </c>
      <c r="D743" s="173">
        <v>-4</v>
      </c>
      <c r="E743" s="252">
        <v>0.9</v>
      </c>
      <c r="F743" s="252"/>
      <c r="G743" s="254" t="str">
        <f t="shared" si="127"/>
        <v>-</v>
      </c>
      <c r="H743" s="254" t="str">
        <f t="shared" si="127"/>
        <v>-</v>
      </c>
      <c r="I743" s="254" t="str">
        <f t="shared" si="127"/>
        <v>-</v>
      </c>
      <c r="J743" s="254" t="str">
        <f t="shared" si="127"/>
        <v>-</v>
      </c>
      <c r="K743" s="254" t="str">
        <f t="shared" si="127"/>
        <v>-</v>
      </c>
      <c r="L743" s="254" t="str">
        <f t="shared" si="127"/>
        <v>-</v>
      </c>
      <c r="M743" s="254" t="str">
        <f t="shared" si="127"/>
        <v>-</v>
      </c>
      <c r="N743" s="255"/>
    </row>
    <row r="744" spans="1:14" s="256" customFormat="1" hidden="1" outlineLevel="2">
      <c r="A744" s="178"/>
      <c r="B744" s="257" t="s">
        <v>191</v>
      </c>
      <c r="C744" s="253" t="s">
        <v>170</v>
      </c>
      <c r="D744" s="173">
        <v>-1</v>
      </c>
      <c r="E744" s="252">
        <v>1.25</v>
      </c>
      <c r="F744" s="252"/>
      <c r="G744" s="254" t="str">
        <f t="shared" si="127"/>
        <v>-</v>
      </c>
      <c r="H744" s="254" t="str">
        <f t="shared" si="127"/>
        <v>-</v>
      </c>
      <c r="I744" s="254" t="str">
        <f t="shared" si="127"/>
        <v>-</v>
      </c>
      <c r="J744" s="254" t="str">
        <f t="shared" si="127"/>
        <v>-</v>
      </c>
      <c r="K744" s="254" t="str">
        <f t="shared" si="127"/>
        <v>-</v>
      </c>
      <c r="L744" s="254" t="str">
        <f t="shared" si="127"/>
        <v>-</v>
      </c>
      <c r="M744" s="254" t="str">
        <f t="shared" si="127"/>
        <v>-</v>
      </c>
      <c r="N744" s="255"/>
    </row>
    <row r="745" spans="1:14" s="256" customFormat="1" hidden="1" outlineLevel="2">
      <c r="A745" s="178"/>
      <c r="B745" s="257" t="s">
        <v>192</v>
      </c>
      <c r="C745" s="253" t="s">
        <v>170</v>
      </c>
      <c r="D745" s="173">
        <v>-2</v>
      </c>
      <c r="E745" s="252">
        <v>2.8</v>
      </c>
      <c r="F745" s="252"/>
      <c r="G745" s="254" t="str">
        <f t="shared" si="127"/>
        <v>-</v>
      </c>
      <c r="H745" s="254" t="str">
        <f t="shared" si="127"/>
        <v>-</v>
      </c>
      <c r="I745" s="254" t="str">
        <f t="shared" si="127"/>
        <v>-</v>
      </c>
      <c r="J745" s="254" t="str">
        <f t="shared" si="127"/>
        <v>-</v>
      </c>
      <c r="K745" s="254" t="str">
        <f t="shared" si="127"/>
        <v>-</v>
      </c>
      <c r="L745" s="254" t="str">
        <f t="shared" si="127"/>
        <v>-</v>
      </c>
      <c r="M745" s="254" t="str">
        <f t="shared" si="127"/>
        <v>-</v>
      </c>
      <c r="N745" s="255"/>
    </row>
    <row r="746" spans="1:14" s="256" customFormat="1" hidden="1" outlineLevel="2">
      <c r="A746" s="178"/>
      <c r="B746" s="252" t="s">
        <v>196</v>
      </c>
      <c r="C746" s="253" t="s">
        <v>173</v>
      </c>
      <c r="D746" s="173">
        <v>1</v>
      </c>
      <c r="E746" s="252">
        <f>6.8-0.18*2</f>
        <v>6.4399999999999995</v>
      </c>
      <c r="F746" s="252"/>
      <c r="G746" s="254" t="str">
        <f t="shared" si="127"/>
        <v>-</v>
      </c>
      <c r="H746" s="254" t="str">
        <f t="shared" ref="G746:M770" si="129">IF($C746=H$5,PRODUCT($D746:$F746),"-")</f>
        <v>-</v>
      </c>
      <c r="I746" s="254">
        <f t="shared" si="129"/>
        <v>6.4399999999999995</v>
      </c>
      <c r="J746" s="254" t="str">
        <f t="shared" si="129"/>
        <v>-</v>
      </c>
      <c r="K746" s="254" t="str">
        <f t="shared" si="129"/>
        <v>-</v>
      </c>
      <c r="L746" s="254" t="str">
        <f t="shared" si="129"/>
        <v>-</v>
      </c>
      <c r="M746" s="254" t="str">
        <f t="shared" si="129"/>
        <v>-</v>
      </c>
      <c r="N746" s="255"/>
    </row>
    <row r="747" spans="1:14" s="256" customFormat="1" hidden="1" outlineLevel="2">
      <c r="A747" s="178"/>
      <c r="B747" s="252" t="s">
        <v>197</v>
      </c>
      <c r="C747" s="253" t="s">
        <v>175</v>
      </c>
      <c r="D747" s="173">
        <v>1</v>
      </c>
      <c r="E747" s="252">
        <f>0.3*0.6*2</f>
        <v>0.36</v>
      </c>
      <c r="F747" s="252"/>
      <c r="G747" s="254" t="str">
        <f t="shared" si="129"/>
        <v>-</v>
      </c>
      <c r="H747" s="254" t="str">
        <f t="shared" si="129"/>
        <v>-</v>
      </c>
      <c r="I747" s="254" t="str">
        <f t="shared" si="129"/>
        <v>-</v>
      </c>
      <c r="J747" s="254">
        <f t="shared" si="129"/>
        <v>0.36</v>
      </c>
      <c r="K747" s="254" t="str">
        <f t="shared" si="129"/>
        <v>-</v>
      </c>
      <c r="L747" s="254" t="str">
        <f t="shared" si="129"/>
        <v>-</v>
      </c>
      <c r="M747" s="254" t="str">
        <f t="shared" si="129"/>
        <v>-</v>
      </c>
      <c r="N747" s="255"/>
    </row>
    <row r="748" spans="1:14" s="256" customFormat="1" hidden="1" outlineLevel="2">
      <c r="A748" s="178"/>
      <c r="B748" s="252" t="s">
        <v>198</v>
      </c>
      <c r="C748" s="253" t="s">
        <v>174</v>
      </c>
      <c r="D748" s="173">
        <v>1</v>
      </c>
      <c r="E748" s="252">
        <v>15</v>
      </c>
      <c r="F748" s="252">
        <v>2.2999999999999998</v>
      </c>
      <c r="G748" s="254" t="str">
        <f t="shared" si="129"/>
        <v>-</v>
      </c>
      <c r="H748" s="254" t="str">
        <f t="shared" si="129"/>
        <v>-</v>
      </c>
      <c r="I748" s="254" t="str">
        <f t="shared" si="129"/>
        <v>-</v>
      </c>
      <c r="J748" s="254" t="str">
        <f t="shared" si="129"/>
        <v>-</v>
      </c>
      <c r="K748" s="254" t="str">
        <f t="shared" si="129"/>
        <v>-</v>
      </c>
      <c r="L748" s="254" t="str">
        <f t="shared" si="129"/>
        <v>-</v>
      </c>
      <c r="M748" s="254" t="str">
        <f t="shared" si="129"/>
        <v>-</v>
      </c>
      <c r="N748" s="255"/>
    </row>
    <row r="749" spans="1:14" s="256" customFormat="1" hidden="1" outlineLevel="2">
      <c r="A749" s="178"/>
      <c r="B749" s="257" t="s">
        <v>191</v>
      </c>
      <c r="C749" s="253" t="s">
        <v>174</v>
      </c>
      <c r="D749" s="173">
        <v>-1</v>
      </c>
      <c r="E749" s="252">
        <v>0.8</v>
      </c>
      <c r="F749" s="252">
        <v>2.2200000000000002</v>
      </c>
      <c r="G749" s="254" t="str">
        <f t="shared" si="129"/>
        <v>-</v>
      </c>
      <c r="H749" s="254" t="str">
        <f t="shared" si="129"/>
        <v>-</v>
      </c>
      <c r="I749" s="254" t="str">
        <f t="shared" si="129"/>
        <v>-</v>
      </c>
      <c r="J749" s="254" t="str">
        <f t="shared" si="129"/>
        <v>-</v>
      </c>
      <c r="K749" s="254" t="str">
        <f t="shared" si="129"/>
        <v>-</v>
      </c>
      <c r="L749" s="254" t="str">
        <f t="shared" si="129"/>
        <v>-</v>
      </c>
      <c r="M749" s="254" t="str">
        <f t="shared" si="129"/>
        <v>-</v>
      </c>
      <c r="N749" s="255"/>
    </row>
    <row r="750" spans="1:14" s="256" customFormat="1" hidden="1" outlineLevel="2">
      <c r="A750" s="178"/>
      <c r="B750" s="257" t="s">
        <v>207</v>
      </c>
      <c r="C750" s="253" t="s">
        <v>174</v>
      </c>
      <c r="D750" s="173">
        <v>-1</v>
      </c>
      <c r="E750" s="252">
        <f>2.17+1.27</f>
        <v>3.44</v>
      </c>
      <c r="F750" s="252">
        <v>1.6</v>
      </c>
      <c r="G750" s="254" t="str">
        <f t="shared" si="129"/>
        <v>-</v>
      </c>
      <c r="H750" s="254" t="str">
        <f t="shared" si="129"/>
        <v>-</v>
      </c>
      <c r="I750" s="254" t="str">
        <f t="shared" si="129"/>
        <v>-</v>
      </c>
      <c r="J750" s="254" t="str">
        <f t="shared" si="129"/>
        <v>-</v>
      </c>
      <c r="K750" s="254" t="str">
        <f t="shared" si="129"/>
        <v>-</v>
      </c>
      <c r="L750" s="254" t="str">
        <f t="shared" si="129"/>
        <v>-</v>
      </c>
      <c r="M750" s="254" t="str">
        <f t="shared" si="129"/>
        <v>-</v>
      </c>
      <c r="N750" s="255"/>
    </row>
    <row r="751" spans="1:14" s="256" customFormat="1" hidden="1" outlineLevel="2">
      <c r="A751" s="178"/>
      <c r="B751" s="257" t="s">
        <v>200</v>
      </c>
      <c r="C751" s="253" t="s">
        <v>174</v>
      </c>
      <c r="D751" s="173">
        <v>1</v>
      </c>
      <c r="E751" s="252">
        <f>5.33-1.8</f>
        <v>3.5300000000000002</v>
      </c>
      <c r="F751" s="252">
        <v>0.55000000000000004</v>
      </c>
      <c r="G751" s="254" t="str">
        <f t="shared" si="129"/>
        <v>-</v>
      </c>
      <c r="H751" s="254" t="str">
        <f t="shared" si="129"/>
        <v>-</v>
      </c>
      <c r="I751" s="254" t="str">
        <f t="shared" si="129"/>
        <v>-</v>
      </c>
      <c r="J751" s="254" t="str">
        <f t="shared" si="129"/>
        <v>-</v>
      </c>
      <c r="K751" s="254" t="str">
        <f t="shared" si="129"/>
        <v>-</v>
      </c>
      <c r="L751" s="254" t="str">
        <f t="shared" si="129"/>
        <v>-</v>
      </c>
      <c r="M751" s="254" t="str">
        <f t="shared" si="129"/>
        <v>-</v>
      </c>
      <c r="N751" s="255"/>
    </row>
    <row r="752" spans="1:14" s="256" customFormat="1" hidden="1" outlineLevel="2">
      <c r="A752" s="178"/>
      <c r="B752" s="258" t="s">
        <v>201</v>
      </c>
      <c r="C752" s="253" t="s">
        <v>174</v>
      </c>
      <c r="D752" s="173">
        <v>1</v>
      </c>
      <c r="E752" s="252">
        <f>E750+0.4</f>
        <v>3.84</v>
      </c>
      <c r="F752" s="252">
        <v>0.25</v>
      </c>
      <c r="G752" s="254" t="str">
        <f t="shared" si="129"/>
        <v>-</v>
      </c>
      <c r="H752" s="254" t="str">
        <f t="shared" si="129"/>
        <v>-</v>
      </c>
      <c r="I752" s="254" t="str">
        <f t="shared" si="129"/>
        <v>-</v>
      </c>
      <c r="J752" s="254" t="str">
        <f t="shared" si="129"/>
        <v>-</v>
      </c>
      <c r="K752" s="254" t="str">
        <f t="shared" si="129"/>
        <v>-</v>
      </c>
      <c r="L752" s="254" t="str">
        <f t="shared" si="129"/>
        <v>-</v>
      </c>
      <c r="M752" s="254" t="str">
        <f t="shared" si="129"/>
        <v>-</v>
      </c>
      <c r="N752" s="255"/>
    </row>
    <row r="753" spans="1:14" s="256" customFormat="1" hidden="1" outlineLevel="2">
      <c r="A753" s="178"/>
      <c r="B753" s="252" t="s">
        <v>202</v>
      </c>
      <c r="C753" s="253" t="s">
        <v>176</v>
      </c>
      <c r="D753" s="173">
        <v>1</v>
      </c>
      <c r="E753" s="252">
        <v>2.15</v>
      </c>
      <c r="F753" s="252">
        <v>1.1499999999999999</v>
      </c>
      <c r="G753" s="254" t="str">
        <f t="shared" si="129"/>
        <v>-</v>
      </c>
      <c r="H753" s="254" t="str">
        <f t="shared" si="129"/>
        <v>-</v>
      </c>
      <c r="I753" s="254" t="str">
        <f t="shared" si="129"/>
        <v>-</v>
      </c>
      <c r="J753" s="254" t="str">
        <f t="shared" si="129"/>
        <v>-</v>
      </c>
      <c r="K753" s="254" t="str">
        <f t="shared" si="129"/>
        <v>-</v>
      </c>
      <c r="L753" s="254" t="str">
        <f t="shared" si="129"/>
        <v>-</v>
      </c>
      <c r="M753" s="254" t="str">
        <f t="shared" si="129"/>
        <v>-</v>
      </c>
      <c r="N753" s="255"/>
    </row>
    <row r="754" spans="1:14" s="256" customFormat="1" hidden="1" outlineLevel="2">
      <c r="A754" s="178"/>
      <c r="B754" s="257" t="s">
        <v>203</v>
      </c>
      <c r="C754" s="253" t="s">
        <v>176</v>
      </c>
      <c r="D754" s="173">
        <v>-1</v>
      </c>
      <c r="E754" s="252">
        <v>1.65</v>
      </c>
      <c r="F754" s="252">
        <v>0.7</v>
      </c>
      <c r="G754" s="254" t="str">
        <f t="shared" si="129"/>
        <v>-</v>
      </c>
      <c r="H754" s="254" t="str">
        <f t="shared" si="129"/>
        <v>-</v>
      </c>
      <c r="I754" s="254" t="str">
        <f t="shared" si="129"/>
        <v>-</v>
      </c>
      <c r="J754" s="254" t="str">
        <f t="shared" si="129"/>
        <v>-</v>
      </c>
      <c r="K754" s="254" t="str">
        <f t="shared" si="129"/>
        <v>-</v>
      </c>
      <c r="L754" s="254" t="str">
        <f t="shared" si="129"/>
        <v>-</v>
      </c>
      <c r="M754" s="254" t="str">
        <f t="shared" si="129"/>
        <v>-</v>
      </c>
      <c r="N754" s="255"/>
    </row>
    <row r="755" spans="1:14" s="256" customFormat="1" hidden="1" outlineLevel="2">
      <c r="A755" s="178"/>
      <c r="B755" s="252" t="s">
        <v>252</v>
      </c>
      <c r="C755" s="253" t="s">
        <v>177</v>
      </c>
      <c r="D755" s="173">
        <v>1</v>
      </c>
      <c r="E755" s="252">
        <v>1.25</v>
      </c>
      <c r="F755" s="252"/>
      <c r="G755" s="254" t="str">
        <f t="shared" si="129"/>
        <v>-</v>
      </c>
      <c r="H755" s="254" t="str">
        <f t="shared" si="129"/>
        <v>-</v>
      </c>
      <c r="I755" s="254" t="str">
        <f t="shared" si="129"/>
        <v>-</v>
      </c>
      <c r="J755" s="254" t="str">
        <f t="shared" si="129"/>
        <v>-</v>
      </c>
      <c r="K755" s="254">
        <f t="shared" si="129"/>
        <v>1.25</v>
      </c>
      <c r="L755" s="254" t="str">
        <f t="shared" si="129"/>
        <v>-</v>
      </c>
      <c r="M755" s="254" t="str">
        <f t="shared" si="129"/>
        <v>-</v>
      </c>
      <c r="N755" s="255"/>
    </row>
    <row r="756" spans="1:14" s="256" customFormat="1" hidden="1" outlineLevel="2">
      <c r="A756" s="259"/>
      <c r="B756" s="252"/>
      <c r="C756" s="253"/>
      <c r="D756" s="173"/>
      <c r="E756" s="252"/>
      <c r="F756" s="252"/>
      <c r="G756" s="254" t="str">
        <f t="shared" si="129"/>
        <v>-</v>
      </c>
      <c r="H756" s="254" t="str">
        <f t="shared" si="129"/>
        <v>-</v>
      </c>
      <c r="I756" s="254" t="str">
        <f t="shared" si="129"/>
        <v>-</v>
      </c>
      <c r="J756" s="254" t="str">
        <f t="shared" si="129"/>
        <v>-</v>
      </c>
      <c r="K756" s="254" t="str">
        <f t="shared" si="129"/>
        <v>-</v>
      </c>
      <c r="L756" s="254" t="str">
        <f t="shared" si="129"/>
        <v>-</v>
      </c>
      <c r="M756" s="254" t="str">
        <f t="shared" si="129"/>
        <v>-</v>
      </c>
      <c r="N756" s="255"/>
    </row>
    <row r="757" spans="1:14" s="251" customFormat="1" ht="15" hidden="1" outlineLevel="1" collapsed="1">
      <c r="A757" s="245"/>
      <c r="B757" s="246" t="s">
        <v>209</v>
      </c>
      <c r="C757" s="245"/>
      <c r="D757" s="247">
        <v>1</v>
      </c>
      <c r="E757" s="248"/>
      <c r="F757" s="248"/>
      <c r="G757" s="249">
        <f t="shared" ref="G757:M757" si="130">SUBTOTAL(9,G758:G775)</f>
        <v>20.8</v>
      </c>
      <c r="H757" s="249">
        <f t="shared" si="130"/>
        <v>5.4</v>
      </c>
      <c r="I757" s="249">
        <f t="shared" si="130"/>
        <v>21.6</v>
      </c>
      <c r="J757" s="249">
        <f t="shared" si="130"/>
        <v>0.36</v>
      </c>
      <c r="K757" s="249">
        <f t="shared" si="130"/>
        <v>0</v>
      </c>
      <c r="L757" s="249">
        <f t="shared" si="130"/>
        <v>0</v>
      </c>
      <c r="M757" s="249">
        <f t="shared" si="130"/>
        <v>0</v>
      </c>
      <c r="N757" s="250"/>
    </row>
    <row r="758" spans="1:14" s="256" customFormat="1" hidden="1" outlineLevel="2">
      <c r="A758" s="178"/>
      <c r="B758" s="252" t="s">
        <v>189</v>
      </c>
      <c r="C758" s="253" t="s">
        <v>169</v>
      </c>
      <c r="D758" s="173">
        <v>1</v>
      </c>
      <c r="E758" s="252">
        <v>20.8</v>
      </c>
      <c r="F758" s="252"/>
      <c r="G758" s="254">
        <f t="shared" si="129"/>
        <v>20.8</v>
      </c>
      <c r="H758" s="254" t="str">
        <f t="shared" si="129"/>
        <v>-</v>
      </c>
      <c r="I758" s="254" t="str">
        <f t="shared" si="129"/>
        <v>-</v>
      </c>
      <c r="J758" s="254" t="str">
        <f t="shared" si="129"/>
        <v>-</v>
      </c>
      <c r="K758" s="254" t="str">
        <f t="shared" si="129"/>
        <v>-</v>
      </c>
      <c r="L758" s="254" t="str">
        <f t="shared" si="129"/>
        <v>-</v>
      </c>
      <c r="M758" s="254" t="str">
        <f t="shared" si="129"/>
        <v>-</v>
      </c>
      <c r="N758" s="255"/>
    </row>
    <row r="759" spans="1:14" s="256" customFormat="1" hidden="1" outlineLevel="2">
      <c r="A759" s="178"/>
      <c r="B759" s="252" t="s">
        <v>190</v>
      </c>
      <c r="C759" s="253" t="s">
        <v>170</v>
      </c>
      <c r="D759" s="173">
        <v>1</v>
      </c>
      <c r="E759" s="252">
        <v>19.399999999999999</v>
      </c>
      <c r="F759" s="252"/>
      <c r="G759" s="254" t="str">
        <f t="shared" si="129"/>
        <v>-</v>
      </c>
      <c r="H759" s="254" t="str">
        <f t="shared" si="129"/>
        <v>-</v>
      </c>
      <c r="I759" s="254" t="str">
        <f t="shared" si="129"/>
        <v>-</v>
      </c>
      <c r="J759" s="254" t="str">
        <f t="shared" si="129"/>
        <v>-</v>
      </c>
      <c r="K759" s="254" t="str">
        <f t="shared" si="129"/>
        <v>-</v>
      </c>
      <c r="L759" s="254" t="str">
        <f t="shared" si="129"/>
        <v>-</v>
      </c>
      <c r="M759" s="254" t="str">
        <f t="shared" si="129"/>
        <v>-</v>
      </c>
      <c r="N759" s="255"/>
    </row>
    <row r="760" spans="1:14" s="256" customFormat="1" hidden="1" outlineLevel="2">
      <c r="A760" s="178"/>
      <c r="B760" s="257" t="s">
        <v>191</v>
      </c>
      <c r="C760" s="253" t="s">
        <v>170</v>
      </c>
      <c r="D760" s="173">
        <v>-1</v>
      </c>
      <c r="E760" s="252">
        <f>1.2+0.8*2</f>
        <v>2.8</v>
      </c>
      <c r="F760" s="252"/>
      <c r="G760" s="254" t="str">
        <f t="shared" si="129"/>
        <v>-</v>
      </c>
      <c r="H760" s="254" t="str">
        <f t="shared" si="129"/>
        <v>-</v>
      </c>
      <c r="I760" s="254" t="str">
        <f t="shared" si="129"/>
        <v>-</v>
      </c>
      <c r="J760" s="254" t="str">
        <f t="shared" si="129"/>
        <v>-</v>
      </c>
      <c r="K760" s="254" t="str">
        <f t="shared" si="129"/>
        <v>-</v>
      </c>
      <c r="L760" s="254" t="str">
        <f t="shared" si="129"/>
        <v>-</v>
      </c>
      <c r="M760" s="254" t="str">
        <f t="shared" si="129"/>
        <v>-</v>
      </c>
      <c r="N760" s="255"/>
    </row>
    <row r="761" spans="1:14" s="256" customFormat="1" hidden="1" outlineLevel="2">
      <c r="A761" s="178"/>
      <c r="B761" s="257" t="s">
        <v>192</v>
      </c>
      <c r="C761" s="253" t="s">
        <v>170</v>
      </c>
      <c r="D761" s="173">
        <v>-1</v>
      </c>
      <c r="E761" s="252">
        <v>2.8</v>
      </c>
      <c r="F761" s="252"/>
      <c r="G761" s="254" t="str">
        <f t="shared" si="129"/>
        <v>-</v>
      </c>
      <c r="H761" s="254" t="str">
        <f t="shared" si="129"/>
        <v>-</v>
      </c>
      <c r="I761" s="254" t="str">
        <f t="shared" si="129"/>
        <v>-</v>
      </c>
      <c r="J761" s="254" t="str">
        <f t="shared" si="129"/>
        <v>-</v>
      </c>
      <c r="K761" s="254" t="str">
        <f t="shared" si="129"/>
        <v>-</v>
      </c>
      <c r="L761" s="254" t="str">
        <f t="shared" si="129"/>
        <v>-</v>
      </c>
      <c r="M761" s="254" t="str">
        <f t="shared" si="129"/>
        <v>-</v>
      </c>
      <c r="N761" s="255"/>
    </row>
    <row r="762" spans="1:14" s="256" customFormat="1" hidden="1" outlineLevel="2">
      <c r="A762" s="178"/>
      <c r="B762" s="252" t="s">
        <v>193</v>
      </c>
      <c r="C762" s="253" t="s">
        <v>171</v>
      </c>
      <c r="D762" s="173">
        <v>1</v>
      </c>
      <c r="E762" s="252">
        <v>5.4</v>
      </c>
      <c r="F762" s="252"/>
      <c r="G762" s="254" t="str">
        <f t="shared" si="129"/>
        <v>-</v>
      </c>
      <c r="H762" s="254">
        <f t="shared" si="129"/>
        <v>5.4</v>
      </c>
      <c r="I762" s="254" t="str">
        <f t="shared" si="129"/>
        <v>-</v>
      </c>
      <c r="J762" s="254" t="str">
        <f t="shared" si="129"/>
        <v>-</v>
      </c>
      <c r="K762" s="254" t="str">
        <f t="shared" si="129"/>
        <v>-</v>
      </c>
      <c r="L762" s="254" t="str">
        <f t="shared" si="129"/>
        <v>-</v>
      </c>
      <c r="M762" s="254" t="str">
        <f t="shared" si="129"/>
        <v>-</v>
      </c>
      <c r="N762" s="255"/>
    </row>
    <row r="763" spans="1:14" s="256" customFormat="1" hidden="1" outlineLevel="2">
      <c r="A763" s="178"/>
      <c r="B763" s="252" t="s">
        <v>194</v>
      </c>
      <c r="C763" s="253" t="s">
        <v>172</v>
      </c>
      <c r="D763" s="173">
        <v>1</v>
      </c>
      <c r="E763" s="252">
        <v>11</v>
      </c>
      <c r="F763" s="252"/>
      <c r="G763" s="254" t="str">
        <f t="shared" si="129"/>
        <v>-</v>
      </c>
      <c r="H763" s="254" t="str">
        <f t="shared" si="129"/>
        <v>-</v>
      </c>
      <c r="I763" s="254" t="str">
        <f t="shared" si="129"/>
        <v>-</v>
      </c>
      <c r="J763" s="254" t="str">
        <f t="shared" si="129"/>
        <v>-</v>
      </c>
      <c r="K763" s="254" t="str">
        <f t="shared" si="129"/>
        <v>-</v>
      </c>
      <c r="L763" s="254" t="str">
        <f t="shared" si="129"/>
        <v>-</v>
      </c>
      <c r="M763" s="254" t="str">
        <f t="shared" si="129"/>
        <v>-</v>
      </c>
      <c r="N763" s="255"/>
    </row>
    <row r="764" spans="1:14" s="256" customFormat="1" hidden="1" outlineLevel="2">
      <c r="A764" s="178"/>
      <c r="B764" s="257" t="s">
        <v>191</v>
      </c>
      <c r="C764" s="253" t="s">
        <v>172</v>
      </c>
      <c r="D764" s="173">
        <v>-1</v>
      </c>
      <c r="E764" s="252">
        <v>2</v>
      </c>
      <c r="F764" s="252"/>
      <c r="G764" s="254" t="str">
        <f t="shared" si="129"/>
        <v>-</v>
      </c>
      <c r="H764" s="254" t="str">
        <f t="shared" si="129"/>
        <v>-</v>
      </c>
      <c r="I764" s="254" t="str">
        <f t="shared" si="129"/>
        <v>-</v>
      </c>
      <c r="J764" s="254" t="str">
        <f t="shared" si="129"/>
        <v>-</v>
      </c>
      <c r="K764" s="254" t="str">
        <f t="shared" si="129"/>
        <v>-</v>
      </c>
      <c r="L764" s="254" t="str">
        <f t="shared" si="129"/>
        <v>-</v>
      </c>
      <c r="M764" s="254" t="str">
        <f t="shared" si="129"/>
        <v>-</v>
      </c>
      <c r="N764" s="255"/>
    </row>
    <row r="765" spans="1:14" s="256" customFormat="1" hidden="1" outlineLevel="2">
      <c r="A765" s="178"/>
      <c r="B765" s="257" t="s">
        <v>195</v>
      </c>
      <c r="C765" s="253" t="s">
        <v>172</v>
      </c>
      <c r="D765" s="173">
        <v>-1</v>
      </c>
      <c r="E765" s="252">
        <v>2.8</v>
      </c>
      <c r="F765" s="252"/>
      <c r="G765" s="254" t="str">
        <f t="shared" si="129"/>
        <v>-</v>
      </c>
      <c r="H765" s="254" t="str">
        <f t="shared" si="129"/>
        <v>-</v>
      </c>
      <c r="I765" s="254" t="str">
        <f t="shared" si="129"/>
        <v>-</v>
      </c>
      <c r="J765" s="254" t="str">
        <f t="shared" si="129"/>
        <v>-</v>
      </c>
      <c r="K765" s="254" t="str">
        <f t="shared" si="129"/>
        <v>-</v>
      </c>
      <c r="L765" s="254" t="str">
        <f t="shared" si="129"/>
        <v>-</v>
      </c>
      <c r="M765" s="254" t="str">
        <f t="shared" si="129"/>
        <v>-</v>
      </c>
      <c r="N765" s="255"/>
    </row>
    <row r="766" spans="1:14" s="256" customFormat="1" hidden="1" outlineLevel="2">
      <c r="A766" s="178"/>
      <c r="B766" s="252" t="s">
        <v>198</v>
      </c>
      <c r="C766" s="253" t="s">
        <v>174</v>
      </c>
      <c r="D766" s="173">
        <v>1</v>
      </c>
      <c r="E766" s="252">
        <v>12</v>
      </c>
      <c r="F766" s="252">
        <v>2.2999999999999998</v>
      </c>
      <c r="G766" s="254" t="str">
        <f t="shared" si="129"/>
        <v>-</v>
      </c>
      <c r="H766" s="254" t="str">
        <f t="shared" si="129"/>
        <v>-</v>
      </c>
      <c r="I766" s="254" t="str">
        <f t="shared" si="129"/>
        <v>-</v>
      </c>
      <c r="J766" s="254" t="str">
        <f t="shared" si="129"/>
        <v>-</v>
      </c>
      <c r="K766" s="254" t="str">
        <f t="shared" si="129"/>
        <v>-</v>
      </c>
      <c r="L766" s="254" t="str">
        <f t="shared" si="129"/>
        <v>-</v>
      </c>
      <c r="M766" s="254" t="str">
        <f t="shared" si="129"/>
        <v>-</v>
      </c>
      <c r="N766" s="255"/>
    </row>
    <row r="767" spans="1:14" s="256" customFormat="1" hidden="1" outlineLevel="2">
      <c r="A767" s="178"/>
      <c r="B767" s="257" t="s">
        <v>191</v>
      </c>
      <c r="C767" s="253" t="s">
        <v>174</v>
      </c>
      <c r="D767" s="173">
        <v>-1</v>
      </c>
      <c r="E767" s="252">
        <v>0.8</v>
      </c>
      <c r="F767" s="252">
        <v>2.2000000000000002</v>
      </c>
      <c r="G767" s="254" t="str">
        <f t="shared" si="129"/>
        <v>-</v>
      </c>
      <c r="H767" s="254" t="str">
        <f t="shared" si="129"/>
        <v>-</v>
      </c>
      <c r="I767" s="254" t="str">
        <f t="shared" si="129"/>
        <v>-</v>
      </c>
      <c r="J767" s="254" t="str">
        <f t="shared" si="129"/>
        <v>-</v>
      </c>
      <c r="K767" s="254" t="str">
        <f t="shared" si="129"/>
        <v>-</v>
      </c>
      <c r="L767" s="254" t="str">
        <f t="shared" si="129"/>
        <v>-</v>
      </c>
      <c r="M767" s="254" t="str">
        <f t="shared" si="129"/>
        <v>-</v>
      </c>
      <c r="N767" s="255"/>
    </row>
    <row r="768" spans="1:14" s="256" customFormat="1" hidden="1" outlineLevel="2">
      <c r="A768" s="178"/>
      <c r="B768" s="257" t="s">
        <v>199</v>
      </c>
      <c r="C768" s="253" t="s">
        <v>174</v>
      </c>
      <c r="D768" s="173">
        <v>-1</v>
      </c>
      <c r="E768" s="252">
        <v>1.7</v>
      </c>
      <c r="F768" s="252">
        <v>1.7</v>
      </c>
      <c r="G768" s="254" t="str">
        <f t="shared" si="129"/>
        <v>-</v>
      </c>
      <c r="H768" s="254" t="str">
        <f t="shared" si="129"/>
        <v>-</v>
      </c>
      <c r="I768" s="254" t="str">
        <f t="shared" si="129"/>
        <v>-</v>
      </c>
      <c r="J768" s="254" t="str">
        <f t="shared" si="129"/>
        <v>-</v>
      </c>
      <c r="K768" s="254" t="str">
        <f t="shared" si="129"/>
        <v>-</v>
      </c>
      <c r="L768" s="254" t="str">
        <f t="shared" si="129"/>
        <v>-</v>
      </c>
      <c r="M768" s="254" t="str">
        <f t="shared" si="129"/>
        <v>-</v>
      </c>
      <c r="N768" s="255"/>
    </row>
    <row r="769" spans="1:14" s="256" customFormat="1" hidden="1" outlineLevel="2">
      <c r="A769" s="178"/>
      <c r="B769" s="257" t="s">
        <v>200</v>
      </c>
      <c r="C769" s="253" t="s">
        <v>174</v>
      </c>
      <c r="D769" s="173">
        <v>-2</v>
      </c>
      <c r="E769" s="252">
        <v>0.85</v>
      </c>
      <c r="F769" s="252">
        <v>0.55000000000000004</v>
      </c>
      <c r="G769" s="254" t="str">
        <f t="shared" si="129"/>
        <v>-</v>
      </c>
      <c r="H769" s="254" t="str">
        <f t="shared" si="129"/>
        <v>-</v>
      </c>
      <c r="I769" s="254" t="str">
        <f t="shared" si="129"/>
        <v>-</v>
      </c>
      <c r="J769" s="254" t="str">
        <f t="shared" si="129"/>
        <v>-</v>
      </c>
      <c r="K769" s="254" t="str">
        <f t="shared" si="129"/>
        <v>-</v>
      </c>
      <c r="L769" s="254" t="str">
        <f t="shared" si="129"/>
        <v>-</v>
      </c>
      <c r="M769" s="254" t="str">
        <f t="shared" si="129"/>
        <v>-</v>
      </c>
      <c r="N769" s="255"/>
    </row>
    <row r="770" spans="1:14" s="256" customFormat="1" hidden="1" outlineLevel="2">
      <c r="A770" s="178"/>
      <c r="B770" s="258" t="s">
        <v>201</v>
      </c>
      <c r="C770" s="253" t="s">
        <v>174</v>
      </c>
      <c r="D770" s="173">
        <v>1</v>
      </c>
      <c r="E770" s="252">
        <v>2</v>
      </c>
      <c r="F770" s="252">
        <v>0.25</v>
      </c>
      <c r="G770" s="254" t="str">
        <f t="shared" si="129"/>
        <v>-</v>
      </c>
      <c r="H770" s="254" t="str">
        <f t="shared" si="129"/>
        <v>-</v>
      </c>
      <c r="I770" s="254" t="str">
        <f t="shared" ref="G770:M775" si="131">IF($C770=I$5,PRODUCT($D770:$F770),"-")</f>
        <v>-</v>
      </c>
      <c r="J770" s="254" t="str">
        <f t="shared" si="131"/>
        <v>-</v>
      </c>
      <c r="K770" s="254" t="str">
        <f t="shared" si="131"/>
        <v>-</v>
      </c>
      <c r="L770" s="254" t="str">
        <f t="shared" si="131"/>
        <v>-</v>
      </c>
      <c r="M770" s="254" t="str">
        <f t="shared" si="131"/>
        <v>-</v>
      </c>
      <c r="N770" s="255"/>
    </row>
    <row r="771" spans="1:14" s="256" customFormat="1" hidden="1" outlineLevel="2">
      <c r="A771" s="178"/>
      <c r="B771" s="252" t="s">
        <v>196</v>
      </c>
      <c r="C771" s="253" t="s">
        <v>173</v>
      </c>
      <c r="D771" s="173">
        <v>1</v>
      </c>
      <c r="E771" s="252">
        <f>4.5-0.18</f>
        <v>4.32</v>
      </c>
      <c r="F771" s="252">
        <v>5</v>
      </c>
      <c r="G771" s="254" t="str">
        <f t="shared" si="131"/>
        <v>-</v>
      </c>
      <c r="H771" s="254" t="str">
        <f t="shared" si="131"/>
        <v>-</v>
      </c>
      <c r="I771" s="254">
        <f t="shared" si="131"/>
        <v>21.6</v>
      </c>
      <c r="J771" s="254" t="str">
        <f t="shared" si="131"/>
        <v>-</v>
      </c>
      <c r="K771" s="254" t="str">
        <f t="shared" si="131"/>
        <v>-</v>
      </c>
      <c r="L771" s="254" t="str">
        <f t="shared" si="131"/>
        <v>-</v>
      </c>
      <c r="M771" s="254" t="str">
        <f t="shared" si="131"/>
        <v>-</v>
      </c>
      <c r="N771" s="255"/>
    </row>
    <row r="772" spans="1:14" s="256" customFormat="1" hidden="1" outlineLevel="2">
      <c r="A772" s="178"/>
      <c r="B772" s="252" t="s">
        <v>197</v>
      </c>
      <c r="C772" s="253" t="s">
        <v>175</v>
      </c>
      <c r="D772" s="173">
        <v>1</v>
      </c>
      <c r="E772" s="252">
        <f>0.3*0.6*2</f>
        <v>0.36</v>
      </c>
      <c r="F772" s="252"/>
      <c r="G772" s="254" t="str">
        <f t="shared" si="131"/>
        <v>-</v>
      </c>
      <c r="H772" s="254" t="str">
        <f t="shared" si="131"/>
        <v>-</v>
      </c>
      <c r="I772" s="254" t="str">
        <f t="shared" si="131"/>
        <v>-</v>
      </c>
      <c r="J772" s="254">
        <f t="shared" si="131"/>
        <v>0.36</v>
      </c>
      <c r="K772" s="254" t="str">
        <f t="shared" si="131"/>
        <v>-</v>
      </c>
      <c r="L772" s="254" t="str">
        <f t="shared" si="131"/>
        <v>-</v>
      </c>
      <c r="M772" s="254" t="str">
        <f t="shared" si="131"/>
        <v>-</v>
      </c>
      <c r="N772" s="255"/>
    </row>
    <row r="773" spans="1:14" s="256" customFormat="1" hidden="1" outlineLevel="2">
      <c r="A773" s="178"/>
      <c r="B773" s="252" t="s">
        <v>202</v>
      </c>
      <c r="C773" s="253" t="s">
        <v>176</v>
      </c>
      <c r="D773" s="173">
        <v>1</v>
      </c>
      <c r="E773" s="252">
        <v>2</v>
      </c>
      <c r="F773" s="252">
        <v>0.9</v>
      </c>
      <c r="G773" s="254" t="str">
        <f t="shared" si="131"/>
        <v>-</v>
      </c>
      <c r="H773" s="254" t="str">
        <f t="shared" si="131"/>
        <v>-</v>
      </c>
      <c r="I773" s="254" t="str">
        <f t="shared" si="131"/>
        <v>-</v>
      </c>
      <c r="J773" s="254" t="str">
        <f t="shared" si="131"/>
        <v>-</v>
      </c>
      <c r="K773" s="254" t="str">
        <f t="shared" si="131"/>
        <v>-</v>
      </c>
      <c r="L773" s="254" t="str">
        <f t="shared" si="131"/>
        <v>-</v>
      </c>
      <c r="M773" s="254" t="str">
        <f t="shared" si="131"/>
        <v>-</v>
      </c>
      <c r="N773" s="255"/>
    </row>
    <row r="774" spans="1:14" s="256" customFormat="1" hidden="1" outlineLevel="2">
      <c r="A774" s="178"/>
      <c r="B774" s="257" t="s">
        <v>203</v>
      </c>
      <c r="C774" s="253" t="s">
        <v>176</v>
      </c>
      <c r="D774" s="173">
        <v>-1</v>
      </c>
      <c r="E774" s="252">
        <v>1.65</v>
      </c>
      <c r="F774" s="252">
        <v>0.7</v>
      </c>
      <c r="G774" s="254" t="str">
        <f t="shared" si="131"/>
        <v>-</v>
      </c>
      <c r="H774" s="254" t="str">
        <f t="shared" si="131"/>
        <v>-</v>
      </c>
      <c r="I774" s="254" t="str">
        <f t="shared" si="131"/>
        <v>-</v>
      </c>
      <c r="J774" s="254" t="str">
        <f t="shared" si="131"/>
        <v>-</v>
      </c>
      <c r="K774" s="254" t="str">
        <f t="shared" si="131"/>
        <v>-</v>
      </c>
      <c r="L774" s="254" t="str">
        <f t="shared" si="131"/>
        <v>-</v>
      </c>
      <c r="M774" s="254" t="str">
        <f t="shared" si="131"/>
        <v>-</v>
      </c>
      <c r="N774" s="255"/>
    </row>
    <row r="775" spans="1:14" s="256" customFormat="1" hidden="1" outlineLevel="2">
      <c r="A775" s="259"/>
      <c r="B775" s="252"/>
      <c r="C775" s="253"/>
      <c r="D775" s="173"/>
      <c r="E775" s="252"/>
      <c r="F775" s="252"/>
      <c r="G775" s="254" t="str">
        <f t="shared" si="131"/>
        <v>-</v>
      </c>
      <c r="H775" s="254" t="str">
        <f t="shared" si="131"/>
        <v>-</v>
      </c>
      <c r="I775" s="254" t="str">
        <f t="shared" si="131"/>
        <v>-</v>
      </c>
      <c r="J775" s="254" t="str">
        <f t="shared" si="131"/>
        <v>-</v>
      </c>
      <c r="K775" s="254" t="str">
        <f t="shared" si="131"/>
        <v>-</v>
      </c>
      <c r="L775" s="254" t="str">
        <f t="shared" si="131"/>
        <v>-</v>
      </c>
      <c r="M775" s="254" t="str">
        <f t="shared" si="131"/>
        <v>-</v>
      </c>
      <c r="N775" s="255"/>
    </row>
    <row r="776" spans="1:14" s="251" customFormat="1" ht="15" hidden="1" outlineLevel="1" collapsed="1">
      <c r="A776" s="245"/>
      <c r="B776" s="246" t="s">
        <v>210</v>
      </c>
      <c r="C776" s="245"/>
      <c r="D776" s="247">
        <v>1</v>
      </c>
      <c r="E776" s="248"/>
      <c r="F776" s="248"/>
      <c r="G776" s="249">
        <f t="shared" ref="G776:M776" si="132">SUBTOTAL(9,G777:G794)</f>
        <v>20.8</v>
      </c>
      <c r="H776" s="249">
        <f t="shared" si="132"/>
        <v>5.7</v>
      </c>
      <c r="I776" s="249">
        <f t="shared" si="132"/>
        <v>4.04</v>
      </c>
      <c r="J776" s="249">
        <f t="shared" si="132"/>
        <v>0.36</v>
      </c>
      <c r="K776" s="249">
        <f t="shared" si="132"/>
        <v>0</v>
      </c>
      <c r="L776" s="249">
        <f t="shared" si="132"/>
        <v>0</v>
      </c>
      <c r="M776" s="249">
        <f t="shared" si="132"/>
        <v>0</v>
      </c>
      <c r="N776" s="250"/>
    </row>
    <row r="777" spans="1:14" s="256" customFormat="1" hidden="1" outlineLevel="2">
      <c r="A777" s="178"/>
      <c r="B777" s="252" t="s">
        <v>189</v>
      </c>
      <c r="C777" s="253" t="s">
        <v>169</v>
      </c>
      <c r="D777" s="173">
        <v>1</v>
      </c>
      <c r="E777" s="252">
        <v>20.8</v>
      </c>
      <c r="F777" s="252"/>
      <c r="G777" s="254">
        <f t="shared" ref="G777:M801" si="133">IF($C777=G$5,PRODUCT($D777:$F777),"-")</f>
        <v>20.8</v>
      </c>
      <c r="H777" s="254" t="str">
        <f t="shared" si="133"/>
        <v>-</v>
      </c>
      <c r="I777" s="254" t="str">
        <f t="shared" si="133"/>
        <v>-</v>
      </c>
      <c r="J777" s="254" t="str">
        <f t="shared" si="133"/>
        <v>-</v>
      </c>
      <c r="K777" s="254" t="str">
        <f t="shared" si="133"/>
        <v>-</v>
      </c>
      <c r="L777" s="254" t="str">
        <f t="shared" si="133"/>
        <v>-</v>
      </c>
      <c r="M777" s="254" t="str">
        <f t="shared" si="133"/>
        <v>-</v>
      </c>
      <c r="N777" s="255"/>
    </row>
    <row r="778" spans="1:14" s="256" customFormat="1" hidden="1" outlineLevel="2">
      <c r="A778" s="178"/>
      <c r="B778" s="252" t="s">
        <v>190</v>
      </c>
      <c r="C778" s="253" t="s">
        <v>170</v>
      </c>
      <c r="D778" s="173">
        <v>1</v>
      </c>
      <c r="E778" s="252">
        <v>19.399999999999999</v>
      </c>
      <c r="F778" s="252"/>
      <c r="G778" s="254" t="str">
        <f t="shared" si="133"/>
        <v>-</v>
      </c>
      <c r="H778" s="254" t="str">
        <f t="shared" si="133"/>
        <v>-</v>
      </c>
      <c r="I778" s="254" t="str">
        <f t="shared" si="133"/>
        <v>-</v>
      </c>
      <c r="J778" s="254" t="str">
        <f t="shared" si="133"/>
        <v>-</v>
      </c>
      <c r="K778" s="254" t="str">
        <f t="shared" si="133"/>
        <v>-</v>
      </c>
      <c r="L778" s="254" t="str">
        <f t="shared" si="133"/>
        <v>-</v>
      </c>
      <c r="M778" s="254" t="str">
        <f t="shared" si="133"/>
        <v>-</v>
      </c>
      <c r="N778" s="255"/>
    </row>
    <row r="779" spans="1:14" s="256" customFormat="1" hidden="1" outlineLevel="2">
      <c r="A779" s="178"/>
      <c r="B779" s="257" t="s">
        <v>191</v>
      </c>
      <c r="C779" s="253" t="s">
        <v>170</v>
      </c>
      <c r="D779" s="173">
        <v>-1</v>
      </c>
      <c r="E779" s="252">
        <v>1.2</v>
      </c>
      <c r="F779" s="252"/>
      <c r="G779" s="254" t="str">
        <f t="shared" si="133"/>
        <v>-</v>
      </c>
      <c r="H779" s="254" t="str">
        <f t="shared" si="133"/>
        <v>-</v>
      </c>
      <c r="I779" s="254" t="str">
        <f t="shared" si="133"/>
        <v>-</v>
      </c>
      <c r="J779" s="254" t="str">
        <f t="shared" si="133"/>
        <v>-</v>
      </c>
      <c r="K779" s="254" t="str">
        <f t="shared" si="133"/>
        <v>-</v>
      </c>
      <c r="L779" s="254" t="str">
        <f t="shared" si="133"/>
        <v>-</v>
      </c>
      <c r="M779" s="254" t="str">
        <f t="shared" si="133"/>
        <v>-</v>
      </c>
      <c r="N779" s="255"/>
    </row>
    <row r="780" spans="1:14" s="256" customFormat="1" hidden="1" outlineLevel="2">
      <c r="A780" s="178"/>
      <c r="B780" s="257" t="s">
        <v>192</v>
      </c>
      <c r="C780" s="253" t="s">
        <v>170</v>
      </c>
      <c r="D780" s="173">
        <v>-1</v>
      </c>
      <c r="E780" s="252">
        <v>3.2</v>
      </c>
      <c r="F780" s="252"/>
      <c r="G780" s="254" t="str">
        <f t="shared" si="133"/>
        <v>-</v>
      </c>
      <c r="H780" s="254" t="str">
        <f t="shared" si="133"/>
        <v>-</v>
      </c>
      <c r="I780" s="254" t="str">
        <f t="shared" si="133"/>
        <v>-</v>
      </c>
      <c r="J780" s="254" t="str">
        <f t="shared" si="133"/>
        <v>-</v>
      </c>
      <c r="K780" s="254" t="str">
        <f t="shared" si="133"/>
        <v>-</v>
      </c>
      <c r="L780" s="254" t="str">
        <f t="shared" si="133"/>
        <v>-</v>
      </c>
      <c r="M780" s="254" t="str">
        <f t="shared" si="133"/>
        <v>-</v>
      </c>
      <c r="N780" s="255"/>
    </row>
    <row r="781" spans="1:14" s="256" customFormat="1" hidden="1" outlineLevel="2">
      <c r="A781" s="178"/>
      <c r="B781" s="252" t="s">
        <v>193</v>
      </c>
      <c r="C781" s="253" t="s">
        <v>171</v>
      </c>
      <c r="D781" s="173">
        <v>1</v>
      </c>
      <c r="E781" s="252">
        <v>5.7</v>
      </c>
      <c r="F781" s="252"/>
      <c r="G781" s="254" t="str">
        <f t="shared" si="133"/>
        <v>-</v>
      </c>
      <c r="H781" s="254">
        <f t="shared" si="133"/>
        <v>5.7</v>
      </c>
      <c r="I781" s="254" t="str">
        <f t="shared" si="133"/>
        <v>-</v>
      </c>
      <c r="J781" s="254" t="str">
        <f t="shared" si="133"/>
        <v>-</v>
      </c>
      <c r="K781" s="254" t="str">
        <f t="shared" si="133"/>
        <v>-</v>
      </c>
      <c r="L781" s="254" t="str">
        <f t="shared" si="133"/>
        <v>-</v>
      </c>
      <c r="M781" s="254" t="str">
        <f t="shared" si="133"/>
        <v>-</v>
      </c>
      <c r="N781" s="255"/>
    </row>
    <row r="782" spans="1:14" s="256" customFormat="1" hidden="1" outlineLevel="2">
      <c r="A782" s="178"/>
      <c r="B782" s="252" t="s">
        <v>194</v>
      </c>
      <c r="C782" s="253" t="s">
        <v>172</v>
      </c>
      <c r="D782" s="173">
        <v>1</v>
      </c>
      <c r="E782" s="252">
        <v>11.3</v>
      </c>
      <c r="F782" s="252"/>
      <c r="G782" s="254" t="str">
        <f t="shared" si="133"/>
        <v>-</v>
      </c>
      <c r="H782" s="254" t="str">
        <f t="shared" si="133"/>
        <v>-</v>
      </c>
      <c r="I782" s="254" t="str">
        <f t="shared" si="133"/>
        <v>-</v>
      </c>
      <c r="J782" s="254" t="str">
        <f t="shared" si="133"/>
        <v>-</v>
      </c>
      <c r="K782" s="254" t="str">
        <f t="shared" si="133"/>
        <v>-</v>
      </c>
      <c r="L782" s="254" t="str">
        <f t="shared" si="133"/>
        <v>-</v>
      </c>
      <c r="M782" s="254" t="str">
        <f t="shared" si="133"/>
        <v>-</v>
      </c>
      <c r="N782" s="255"/>
    </row>
    <row r="783" spans="1:14" s="256" customFormat="1" hidden="1" outlineLevel="2">
      <c r="A783" s="178"/>
      <c r="B783" s="257" t="s">
        <v>191</v>
      </c>
      <c r="C783" s="253" t="s">
        <v>172</v>
      </c>
      <c r="D783" s="173">
        <v>-1</v>
      </c>
      <c r="E783" s="252">
        <f>1.2+0.8*2</f>
        <v>2.8</v>
      </c>
      <c r="F783" s="252"/>
      <c r="G783" s="254" t="str">
        <f t="shared" si="133"/>
        <v>-</v>
      </c>
      <c r="H783" s="254" t="str">
        <f t="shared" si="133"/>
        <v>-</v>
      </c>
      <c r="I783" s="254" t="str">
        <f t="shared" si="133"/>
        <v>-</v>
      </c>
      <c r="J783" s="254" t="str">
        <f t="shared" si="133"/>
        <v>-</v>
      </c>
      <c r="K783" s="254" t="str">
        <f t="shared" si="133"/>
        <v>-</v>
      </c>
      <c r="L783" s="254" t="str">
        <f t="shared" si="133"/>
        <v>-</v>
      </c>
      <c r="M783" s="254" t="str">
        <f t="shared" si="133"/>
        <v>-</v>
      </c>
      <c r="N783" s="255"/>
    </row>
    <row r="784" spans="1:14" s="256" customFormat="1" hidden="1" outlineLevel="2">
      <c r="A784" s="178"/>
      <c r="B784" s="257" t="s">
        <v>195</v>
      </c>
      <c r="C784" s="253" t="s">
        <v>172</v>
      </c>
      <c r="D784" s="173">
        <v>-1</v>
      </c>
      <c r="E784" s="252">
        <v>2.6</v>
      </c>
      <c r="F784" s="252"/>
      <c r="G784" s="254" t="str">
        <f t="shared" si="133"/>
        <v>-</v>
      </c>
      <c r="H784" s="254" t="str">
        <f t="shared" si="133"/>
        <v>-</v>
      </c>
      <c r="I784" s="254" t="str">
        <f t="shared" si="133"/>
        <v>-</v>
      </c>
      <c r="J784" s="254" t="str">
        <f t="shared" si="133"/>
        <v>-</v>
      </c>
      <c r="K784" s="254" t="str">
        <f t="shared" si="133"/>
        <v>-</v>
      </c>
      <c r="L784" s="254" t="str">
        <f t="shared" si="133"/>
        <v>-</v>
      </c>
      <c r="M784" s="254" t="str">
        <f t="shared" si="133"/>
        <v>-</v>
      </c>
      <c r="N784" s="255"/>
    </row>
    <row r="785" spans="1:14" s="256" customFormat="1" hidden="1" outlineLevel="2">
      <c r="A785" s="178"/>
      <c r="B785" s="252" t="s">
        <v>196</v>
      </c>
      <c r="C785" s="253" t="s">
        <v>173</v>
      </c>
      <c r="D785" s="173">
        <v>1</v>
      </c>
      <c r="E785" s="252">
        <f>4.4-0.36</f>
        <v>4.04</v>
      </c>
      <c r="F785" s="252"/>
      <c r="G785" s="254" t="str">
        <f t="shared" si="133"/>
        <v>-</v>
      </c>
      <c r="H785" s="254" t="str">
        <f t="shared" si="133"/>
        <v>-</v>
      </c>
      <c r="I785" s="254">
        <f t="shared" si="133"/>
        <v>4.04</v>
      </c>
      <c r="J785" s="254" t="str">
        <f t="shared" si="133"/>
        <v>-</v>
      </c>
      <c r="K785" s="254" t="str">
        <f t="shared" si="133"/>
        <v>-</v>
      </c>
      <c r="L785" s="254" t="str">
        <f t="shared" si="133"/>
        <v>-</v>
      </c>
      <c r="M785" s="254" t="str">
        <f t="shared" si="133"/>
        <v>-</v>
      </c>
      <c r="N785" s="255"/>
    </row>
    <row r="786" spans="1:14" s="256" customFormat="1" hidden="1" outlineLevel="2">
      <c r="A786" s="178"/>
      <c r="B786" s="252" t="s">
        <v>197</v>
      </c>
      <c r="C786" s="253" t="s">
        <v>175</v>
      </c>
      <c r="D786" s="173">
        <v>1</v>
      </c>
      <c r="E786" s="252">
        <f>0.3*0.6*2</f>
        <v>0.36</v>
      </c>
      <c r="F786" s="252"/>
      <c r="G786" s="254" t="str">
        <f t="shared" si="133"/>
        <v>-</v>
      </c>
      <c r="H786" s="254" t="str">
        <f t="shared" si="133"/>
        <v>-</v>
      </c>
      <c r="I786" s="254" t="str">
        <f t="shared" si="133"/>
        <v>-</v>
      </c>
      <c r="J786" s="254">
        <f t="shared" si="133"/>
        <v>0.36</v>
      </c>
      <c r="K786" s="254" t="str">
        <f t="shared" si="133"/>
        <v>-</v>
      </c>
      <c r="L786" s="254" t="str">
        <f t="shared" si="133"/>
        <v>-</v>
      </c>
      <c r="M786" s="254" t="str">
        <f t="shared" si="133"/>
        <v>-</v>
      </c>
      <c r="N786" s="255"/>
    </row>
    <row r="787" spans="1:14" s="256" customFormat="1" hidden="1" outlineLevel="2">
      <c r="A787" s="178"/>
      <c r="B787" s="252" t="s">
        <v>198</v>
      </c>
      <c r="C787" s="253" t="s">
        <v>174</v>
      </c>
      <c r="D787" s="173">
        <v>1</v>
      </c>
      <c r="E787" s="252">
        <v>11.6</v>
      </c>
      <c r="F787" s="252">
        <v>2.2999999999999998</v>
      </c>
      <c r="G787" s="254" t="str">
        <f t="shared" si="133"/>
        <v>-</v>
      </c>
      <c r="H787" s="254" t="str">
        <f t="shared" si="133"/>
        <v>-</v>
      </c>
      <c r="I787" s="254" t="str">
        <f t="shared" si="133"/>
        <v>-</v>
      </c>
      <c r="J787" s="254" t="str">
        <f t="shared" si="133"/>
        <v>-</v>
      </c>
      <c r="K787" s="254" t="str">
        <f t="shared" si="133"/>
        <v>-</v>
      </c>
      <c r="L787" s="254" t="str">
        <f t="shared" si="133"/>
        <v>-</v>
      </c>
      <c r="M787" s="254" t="str">
        <f t="shared" si="133"/>
        <v>-</v>
      </c>
      <c r="N787" s="255"/>
    </row>
    <row r="788" spans="1:14" s="256" customFormat="1" hidden="1" outlineLevel="2">
      <c r="A788" s="178"/>
      <c r="B788" s="257" t="s">
        <v>191</v>
      </c>
      <c r="C788" s="253" t="s">
        <v>174</v>
      </c>
      <c r="D788" s="173">
        <v>-1</v>
      </c>
      <c r="E788" s="252">
        <v>0.8</v>
      </c>
      <c r="F788" s="252">
        <v>2.2200000000000002</v>
      </c>
      <c r="G788" s="254" t="str">
        <f t="shared" si="133"/>
        <v>-</v>
      </c>
      <c r="H788" s="254" t="str">
        <f t="shared" si="133"/>
        <v>-</v>
      </c>
      <c r="I788" s="254" t="str">
        <f t="shared" si="133"/>
        <v>-</v>
      </c>
      <c r="J788" s="254" t="str">
        <f t="shared" si="133"/>
        <v>-</v>
      </c>
      <c r="K788" s="254" t="str">
        <f t="shared" si="133"/>
        <v>-</v>
      </c>
      <c r="L788" s="254" t="str">
        <f t="shared" si="133"/>
        <v>-</v>
      </c>
      <c r="M788" s="254" t="str">
        <f t="shared" si="133"/>
        <v>-</v>
      </c>
      <c r="N788" s="255"/>
    </row>
    <row r="789" spans="1:14" s="256" customFormat="1" hidden="1" outlineLevel="2">
      <c r="A789" s="178"/>
      <c r="B789" s="257" t="s">
        <v>199</v>
      </c>
      <c r="C789" s="253" t="s">
        <v>174</v>
      </c>
      <c r="D789" s="173">
        <v>-1</v>
      </c>
      <c r="E789" s="252">
        <v>1.6</v>
      </c>
      <c r="F789" s="252">
        <v>1.7</v>
      </c>
      <c r="G789" s="254" t="str">
        <f t="shared" si="133"/>
        <v>-</v>
      </c>
      <c r="H789" s="254" t="str">
        <f t="shared" si="133"/>
        <v>-</v>
      </c>
      <c r="I789" s="254" t="str">
        <f t="shared" si="133"/>
        <v>-</v>
      </c>
      <c r="J789" s="254" t="str">
        <f t="shared" si="133"/>
        <v>-</v>
      </c>
      <c r="K789" s="254" t="str">
        <f t="shared" si="133"/>
        <v>-</v>
      </c>
      <c r="L789" s="254" t="str">
        <f t="shared" si="133"/>
        <v>-</v>
      </c>
      <c r="M789" s="254" t="str">
        <f t="shared" si="133"/>
        <v>-</v>
      </c>
      <c r="N789" s="255"/>
    </row>
    <row r="790" spans="1:14" s="256" customFormat="1" hidden="1" outlineLevel="2">
      <c r="A790" s="178"/>
      <c r="B790" s="257" t="s">
        <v>200</v>
      </c>
      <c r="C790" s="253" t="s">
        <v>174</v>
      </c>
      <c r="D790" s="173">
        <v>-2</v>
      </c>
      <c r="E790" s="252">
        <v>0.85</v>
      </c>
      <c r="F790" s="252">
        <v>0.55000000000000004</v>
      </c>
      <c r="G790" s="254" t="str">
        <f t="shared" si="133"/>
        <v>-</v>
      </c>
      <c r="H790" s="254" t="str">
        <f t="shared" si="133"/>
        <v>-</v>
      </c>
      <c r="I790" s="254" t="str">
        <f t="shared" si="133"/>
        <v>-</v>
      </c>
      <c r="J790" s="254" t="str">
        <f t="shared" si="133"/>
        <v>-</v>
      </c>
      <c r="K790" s="254" t="str">
        <f t="shared" si="133"/>
        <v>-</v>
      </c>
      <c r="L790" s="254" t="str">
        <f t="shared" si="133"/>
        <v>-</v>
      </c>
      <c r="M790" s="254" t="str">
        <f t="shared" si="133"/>
        <v>-</v>
      </c>
      <c r="N790" s="255"/>
    </row>
    <row r="791" spans="1:14" s="256" customFormat="1" hidden="1" outlineLevel="2">
      <c r="A791" s="178"/>
      <c r="B791" s="258" t="s">
        <v>201</v>
      </c>
      <c r="C791" s="253" t="s">
        <v>174</v>
      </c>
      <c r="D791" s="173">
        <v>1</v>
      </c>
      <c r="E791" s="252">
        <v>1.9</v>
      </c>
      <c r="F791" s="252">
        <v>0.25</v>
      </c>
      <c r="G791" s="254" t="str">
        <f t="shared" si="133"/>
        <v>-</v>
      </c>
      <c r="H791" s="254" t="str">
        <f t="shared" si="133"/>
        <v>-</v>
      </c>
      <c r="I791" s="254" t="str">
        <f t="shared" si="133"/>
        <v>-</v>
      </c>
      <c r="J791" s="254" t="str">
        <f t="shared" si="133"/>
        <v>-</v>
      </c>
      <c r="K791" s="254" t="str">
        <f t="shared" si="133"/>
        <v>-</v>
      </c>
      <c r="L791" s="254" t="str">
        <f t="shared" si="133"/>
        <v>-</v>
      </c>
      <c r="M791" s="254" t="str">
        <f t="shared" si="133"/>
        <v>-</v>
      </c>
      <c r="N791" s="255"/>
    </row>
    <row r="792" spans="1:14" s="256" customFormat="1" hidden="1" outlineLevel="2">
      <c r="A792" s="178"/>
      <c r="B792" s="252" t="s">
        <v>202</v>
      </c>
      <c r="C792" s="253" t="s">
        <v>176</v>
      </c>
      <c r="D792" s="173">
        <v>1</v>
      </c>
      <c r="E792" s="252">
        <v>1.9</v>
      </c>
      <c r="F792" s="252">
        <v>0.9</v>
      </c>
      <c r="G792" s="254" t="str">
        <f t="shared" si="133"/>
        <v>-</v>
      </c>
      <c r="H792" s="254" t="str">
        <f t="shared" si="133"/>
        <v>-</v>
      </c>
      <c r="I792" s="254" t="str">
        <f t="shared" si="133"/>
        <v>-</v>
      </c>
      <c r="J792" s="254" t="str">
        <f t="shared" si="133"/>
        <v>-</v>
      </c>
      <c r="K792" s="254" t="str">
        <f t="shared" si="133"/>
        <v>-</v>
      </c>
      <c r="L792" s="254" t="str">
        <f t="shared" si="133"/>
        <v>-</v>
      </c>
      <c r="M792" s="254" t="str">
        <f t="shared" si="133"/>
        <v>-</v>
      </c>
      <c r="N792" s="255"/>
    </row>
    <row r="793" spans="1:14" s="256" customFormat="1" hidden="1" outlineLevel="2">
      <c r="A793" s="178"/>
      <c r="B793" s="257" t="s">
        <v>203</v>
      </c>
      <c r="C793" s="253" t="s">
        <v>176</v>
      </c>
      <c r="D793" s="173">
        <v>-1</v>
      </c>
      <c r="E793" s="252">
        <v>1.65</v>
      </c>
      <c r="F793" s="252">
        <v>0.7</v>
      </c>
      <c r="G793" s="254" t="str">
        <f t="shared" si="133"/>
        <v>-</v>
      </c>
      <c r="H793" s="254" t="str">
        <f t="shared" si="133"/>
        <v>-</v>
      </c>
      <c r="I793" s="254" t="str">
        <f t="shared" si="133"/>
        <v>-</v>
      </c>
      <c r="J793" s="254" t="str">
        <f t="shared" si="133"/>
        <v>-</v>
      </c>
      <c r="K793" s="254" t="str">
        <f t="shared" si="133"/>
        <v>-</v>
      </c>
      <c r="L793" s="254" t="str">
        <f t="shared" si="133"/>
        <v>-</v>
      </c>
      <c r="M793" s="254" t="str">
        <f t="shared" si="133"/>
        <v>-</v>
      </c>
      <c r="N793" s="255"/>
    </row>
    <row r="794" spans="1:14" s="256" customFormat="1" hidden="1" outlineLevel="2">
      <c r="A794" s="259"/>
      <c r="B794" s="252"/>
      <c r="C794" s="253"/>
      <c r="D794" s="173"/>
      <c r="E794" s="252"/>
      <c r="F794" s="252"/>
      <c r="G794" s="254" t="str">
        <f t="shared" si="133"/>
        <v>-</v>
      </c>
      <c r="H794" s="254" t="str">
        <f t="shared" si="133"/>
        <v>-</v>
      </c>
      <c r="I794" s="254" t="str">
        <f t="shared" si="133"/>
        <v>-</v>
      </c>
      <c r="J794" s="254" t="str">
        <f t="shared" si="133"/>
        <v>-</v>
      </c>
      <c r="K794" s="254" t="str">
        <f t="shared" si="133"/>
        <v>-</v>
      </c>
      <c r="L794" s="254" t="str">
        <f t="shared" si="133"/>
        <v>-</v>
      </c>
      <c r="M794" s="254" t="str">
        <f t="shared" si="133"/>
        <v>-</v>
      </c>
      <c r="N794" s="255"/>
    </row>
    <row r="795" spans="1:14" s="251" customFormat="1" ht="15" hidden="1" outlineLevel="1" collapsed="1">
      <c r="A795" s="245"/>
      <c r="B795" s="246" t="s">
        <v>211</v>
      </c>
      <c r="C795" s="245"/>
      <c r="D795" s="247">
        <v>1</v>
      </c>
      <c r="E795" s="248"/>
      <c r="F795" s="248"/>
      <c r="G795" s="249">
        <f t="shared" ref="G795:M795" si="134">SUBTOTAL(9,G796:G812)</f>
        <v>23.7</v>
      </c>
      <c r="H795" s="249">
        <f t="shared" si="134"/>
        <v>4.05</v>
      </c>
      <c r="I795" s="249">
        <f t="shared" si="134"/>
        <v>2.6</v>
      </c>
      <c r="J795" s="249">
        <f t="shared" si="134"/>
        <v>0</v>
      </c>
      <c r="K795" s="249">
        <f t="shared" si="134"/>
        <v>0</v>
      </c>
      <c r="L795" s="249">
        <f t="shared" si="134"/>
        <v>0</v>
      </c>
      <c r="M795" s="249">
        <f t="shared" si="134"/>
        <v>0</v>
      </c>
      <c r="N795" s="250"/>
    </row>
    <row r="796" spans="1:14" s="256" customFormat="1" hidden="1" outlineLevel="2">
      <c r="A796" s="178"/>
      <c r="B796" s="252" t="s">
        <v>189</v>
      </c>
      <c r="C796" s="253" t="s">
        <v>169</v>
      </c>
      <c r="D796" s="173">
        <v>1</v>
      </c>
      <c r="E796" s="252">
        <v>23.7</v>
      </c>
      <c r="F796" s="252"/>
      <c r="G796" s="254">
        <f t="shared" si="133"/>
        <v>23.7</v>
      </c>
      <c r="H796" s="254" t="str">
        <f t="shared" si="133"/>
        <v>-</v>
      </c>
      <c r="I796" s="254" t="str">
        <f t="shared" si="133"/>
        <v>-</v>
      </c>
      <c r="J796" s="254" t="str">
        <f t="shared" si="133"/>
        <v>-</v>
      </c>
      <c r="K796" s="254" t="str">
        <f t="shared" si="133"/>
        <v>-</v>
      </c>
      <c r="L796" s="254" t="str">
        <f t="shared" si="133"/>
        <v>-</v>
      </c>
      <c r="M796" s="254" t="str">
        <f t="shared" si="133"/>
        <v>-</v>
      </c>
      <c r="N796" s="255"/>
    </row>
    <row r="797" spans="1:14" s="256" customFormat="1" hidden="1" outlineLevel="2">
      <c r="A797" s="178"/>
      <c r="B797" s="252" t="s">
        <v>190</v>
      </c>
      <c r="C797" s="253" t="s">
        <v>170</v>
      </c>
      <c r="D797" s="173">
        <v>1</v>
      </c>
      <c r="E797" s="252">
        <v>20.9</v>
      </c>
      <c r="F797" s="252"/>
      <c r="G797" s="254" t="str">
        <f t="shared" si="133"/>
        <v>-</v>
      </c>
      <c r="H797" s="254" t="str">
        <f t="shared" si="133"/>
        <v>-</v>
      </c>
      <c r="I797" s="254" t="str">
        <f t="shared" si="133"/>
        <v>-</v>
      </c>
      <c r="J797" s="254" t="str">
        <f t="shared" si="133"/>
        <v>-</v>
      </c>
      <c r="K797" s="254" t="str">
        <f t="shared" si="133"/>
        <v>-</v>
      </c>
      <c r="L797" s="254" t="str">
        <f t="shared" si="133"/>
        <v>-</v>
      </c>
      <c r="M797" s="254" t="str">
        <f t="shared" si="133"/>
        <v>-</v>
      </c>
      <c r="N797" s="255"/>
    </row>
    <row r="798" spans="1:14" s="256" customFormat="1" hidden="1" outlineLevel="2">
      <c r="A798" s="178"/>
      <c r="B798" s="257" t="s">
        <v>191</v>
      </c>
      <c r="C798" s="253" t="s">
        <v>170</v>
      </c>
      <c r="D798" s="173">
        <v>-1</v>
      </c>
      <c r="E798" s="252">
        <v>1.2</v>
      </c>
      <c r="F798" s="252"/>
      <c r="G798" s="254" t="str">
        <f t="shared" si="133"/>
        <v>-</v>
      </c>
      <c r="H798" s="254" t="str">
        <f t="shared" si="133"/>
        <v>-</v>
      </c>
      <c r="I798" s="254" t="str">
        <f t="shared" si="133"/>
        <v>-</v>
      </c>
      <c r="J798" s="254" t="str">
        <f t="shared" si="133"/>
        <v>-</v>
      </c>
      <c r="K798" s="254" t="str">
        <f t="shared" si="133"/>
        <v>-</v>
      </c>
      <c r="L798" s="254" t="str">
        <f t="shared" si="133"/>
        <v>-</v>
      </c>
      <c r="M798" s="254" t="str">
        <f t="shared" si="133"/>
        <v>-</v>
      </c>
      <c r="N798" s="255"/>
    </row>
    <row r="799" spans="1:14" s="256" customFormat="1" hidden="1" outlineLevel="2">
      <c r="A799" s="178"/>
      <c r="B799" s="257" t="s">
        <v>192</v>
      </c>
      <c r="C799" s="253" t="s">
        <v>170</v>
      </c>
      <c r="D799" s="173">
        <v>-1</v>
      </c>
      <c r="E799" s="252">
        <v>3.2</v>
      </c>
      <c r="F799" s="252"/>
      <c r="G799" s="254" t="str">
        <f t="shared" si="133"/>
        <v>-</v>
      </c>
      <c r="H799" s="254" t="str">
        <f t="shared" si="133"/>
        <v>-</v>
      </c>
      <c r="I799" s="254" t="str">
        <f t="shared" si="133"/>
        <v>-</v>
      </c>
      <c r="J799" s="254" t="str">
        <f t="shared" si="133"/>
        <v>-</v>
      </c>
      <c r="K799" s="254" t="str">
        <f t="shared" si="133"/>
        <v>-</v>
      </c>
      <c r="L799" s="254" t="str">
        <f t="shared" si="133"/>
        <v>-</v>
      </c>
      <c r="M799" s="254" t="str">
        <f t="shared" si="133"/>
        <v>-</v>
      </c>
      <c r="N799" s="255"/>
    </row>
    <row r="800" spans="1:14" s="256" customFormat="1" hidden="1" outlineLevel="2">
      <c r="A800" s="178"/>
      <c r="B800" s="252" t="s">
        <v>193</v>
      </c>
      <c r="C800" s="253" t="s">
        <v>171</v>
      </c>
      <c r="D800" s="173">
        <v>1</v>
      </c>
      <c r="E800" s="252">
        <v>4.05</v>
      </c>
      <c r="F800" s="252"/>
      <c r="G800" s="254" t="str">
        <f t="shared" si="133"/>
        <v>-</v>
      </c>
      <c r="H800" s="254">
        <f t="shared" si="133"/>
        <v>4.05</v>
      </c>
      <c r="I800" s="254" t="str">
        <f t="shared" si="133"/>
        <v>-</v>
      </c>
      <c r="J800" s="254" t="str">
        <f t="shared" si="133"/>
        <v>-</v>
      </c>
      <c r="K800" s="254" t="str">
        <f t="shared" si="133"/>
        <v>-</v>
      </c>
      <c r="L800" s="254" t="str">
        <f t="shared" si="133"/>
        <v>-</v>
      </c>
      <c r="M800" s="254" t="str">
        <f t="shared" si="133"/>
        <v>-</v>
      </c>
      <c r="N800" s="255"/>
    </row>
    <row r="801" spans="1:14" s="256" customFormat="1" hidden="1" outlineLevel="2">
      <c r="A801" s="178"/>
      <c r="B801" s="252" t="s">
        <v>194</v>
      </c>
      <c r="C801" s="253" t="s">
        <v>172</v>
      </c>
      <c r="D801" s="173">
        <v>1</v>
      </c>
      <c r="E801" s="252">
        <v>9.4</v>
      </c>
      <c r="F801" s="252"/>
      <c r="G801" s="254" t="str">
        <f t="shared" si="133"/>
        <v>-</v>
      </c>
      <c r="H801" s="254" t="str">
        <f t="shared" ref="H801:M801" si="135">IF($C801=H$5,PRODUCT($D801:$F801),"-")</f>
        <v>-</v>
      </c>
      <c r="I801" s="254" t="str">
        <f t="shared" si="135"/>
        <v>-</v>
      </c>
      <c r="J801" s="254" t="str">
        <f t="shared" si="135"/>
        <v>-</v>
      </c>
      <c r="K801" s="254" t="str">
        <f t="shared" si="135"/>
        <v>-</v>
      </c>
      <c r="L801" s="254" t="str">
        <f t="shared" si="135"/>
        <v>-</v>
      </c>
      <c r="M801" s="254" t="str">
        <f t="shared" si="135"/>
        <v>-</v>
      </c>
      <c r="N801" s="255"/>
    </row>
    <row r="802" spans="1:14" s="256" customFormat="1" hidden="1" outlineLevel="2">
      <c r="A802" s="178"/>
      <c r="B802" s="257" t="s">
        <v>191</v>
      </c>
      <c r="C802" s="253" t="s">
        <v>172</v>
      </c>
      <c r="D802" s="173">
        <v>-1</v>
      </c>
      <c r="E802" s="252">
        <f>1.2+0.8*2</f>
        <v>2.8</v>
      </c>
      <c r="F802" s="252"/>
      <c r="G802" s="254" t="str">
        <f t="shared" ref="G802:M812" si="136">IF($C802=G$5,PRODUCT($D802:$F802),"-")</f>
        <v>-</v>
      </c>
      <c r="H802" s="254" t="str">
        <f t="shared" si="136"/>
        <v>-</v>
      </c>
      <c r="I802" s="254" t="str">
        <f t="shared" si="136"/>
        <v>-</v>
      </c>
      <c r="J802" s="254" t="str">
        <f t="shared" si="136"/>
        <v>-</v>
      </c>
      <c r="K802" s="254" t="str">
        <f t="shared" si="136"/>
        <v>-</v>
      </c>
      <c r="L802" s="254" t="str">
        <f t="shared" si="136"/>
        <v>-</v>
      </c>
      <c r="M802" s="254" t="str">
        <f t="shared" si="136"/>
        <v>-</v>
      </c>
      <c r="N802" s="255"/>
    </row>
    <row r="803" spans="1:14" s="256" customFormat="1" hidden="1" outlineLevel="2">
      <c r="A803" s="178"/>
      <c r="B803" s="257" t="s">
        <v>195</v>
      </c>
      <c r="C803" s="253" t="s">
        <v>172</v>
      </c>
      <c r="D803" s="173">
        <v>-1</v>
      </c>
      <c r="E803" s="252">
        <v>2</v>
      </c>
      <c r="F803" s="252"/>
      <c r="G803" s="254" t="str">
        <f t="shared" si="136"/>
        <v>-</v>
      </c>
      <c r="H803" s="254" t="str">
        <f t="shared" si="136"/>
        <v>-</v>
      </c>
      <c r="I803" s="254" t="str">
        <f t="shared" si="136"/>
        <v>-</v>
      </c>
      <c r="J803" s="254" t="str">
        <f t="shared" si="136"/>
        <v>-</v>
      </c>
      <c r="K803" s="254" t="str">
        <f t="shared" si="136"/>
        <v>-</v>
      </c>
      <c r="L803" s="254" t="str">
        <f t="shared" si="136"/>
        <v>-</v>
      </c>
      <c r="M803" s="254" t="str">
        <f t="shared" si="136"/>
        <v>-</v>
      </c>
      <c r="N803" s="255"/>
    </row>
    <row r="804" spans="1:14" s="256" customFormat="1" hidden="1" outlineLevel="2">
      <c r="A804" s="178"/>
      <c r="B804" s="252" t="s">
        <v>196</v>
      </c>
      <c r="C804" s="253" t="s">
        <v>173</v>
      </c>
      <c r="D804" s="173">
        <v>1</v>
      </c>
      <c r="E804" s="252">
        <v>2.6</v>
      </c>
      <c r="F804" s="252"/>
      <c r="G804" s="254" t="str">
        <f t="shared" si="136"/>
        <v>-</v>
      </c>
      <c r="H804" s="254" t="str">
        <f t="shared" si="136"/>
        <v>-</v>
      </c>
      <c r="I804" s="254">
        <f t="shared" si="136"/>
        <v>2.6</v>
      </c>
      <c r="J804" s="254" t="str">
        <f t="shared" si="136"/>
        <v>-</v>
      </c>
      <c r="K804" s="254" t="str">
        <f t="shared" si="136"/>
        <v>-</v>
      </c>
      <c r="L804" s="254" t="str">
        <f t="shared" si="136"/>
        <v>-</v>
      </c>
      <c r="M804" s="254" t="str">
        <f t="shared" si="136"/>
        <v>-</v>
      </c>
      <c r="N804" s="255"/>
    </row>
    <row r="805" spans="1:14" s="256" customFormat="1" hidden="1" outlineLevel="2">
      <c r="A805" s="178"/>
      <c r="B805" s="252" t="s">
        <v>198</v>
      </c>
      <c r="C805" s="253" t="s">
        <v>174</v>
      </c>
      <c r="D805" s="173">
        <v>1</v>
      </c>
      <c r="E805" s="252">
        <v>10.7</v>
      </c>
      <c r="F805" s="252">
        <v>2.2999999999999998</v>
      </c>
      <c r="G805" s="254" t="str">
        <f t="shared" si="136"/>
        <v>-</v>
      </c>
      <c r="H805" s="254" t="str">
        <f t="shared" si="136"/>
        <v>-</v>
      </c>
      <c r="I805" s="254" t="str">
        <f t="shared" si="136"/>
        <v>-</v>
      </c>
      <c r="J805" s="254" t="str">
        <f t="shared" si="136"/>
        <v>-</v>
      </c>
      <c r="K805" s="254" t="str">
        <f t="shared" si="136"/>
        <v>-</v>
      </c>
      <c r="L805" s="254" t="str">
        <f t="shared" si="136"/>
        <v>-</v>
      </c>
      <c r="M805" s="254" t="str">
        <f t="shared" si="136"/>
        <v>-</v>
      </c>
      <c r="N805" s="255"/>
    </row>
    <row r="806" spans="1:14" s="256" customFormat="1" hidden="1" outlineLevel="2">
      <c r="A806" s="178"/>
      <c r="B806" s="257" t="s">
        <v>212</v>
      </c>
      <c r="C806" s="253" t="s">
        <v>174</v>
      </c>
      <c r="D806" s="173">
        <v>-1</v>
      </c>
      <c r="E806" s="252">
        <v>0.8</v>
      </c>
      <c r="F806" s="252">
        <v>2.2200000000000002</v>
      </c>
      <c r="G806" s="254" t="str">
        <f t="shared" si="136"/>
        <v>-</v>
      </c>
      <c r="H806" s="254" t="str">
        <f t="shared" si="136"/>
        <v>-</v>
      </c>
      <c r="I806" s="254" t="str">
        <f t="shared" si="136"/>
        <v>-</v>
      </c>
      <c r="J806" s="254" t="str">
        <f t="shared" si="136"/>
        <v>-</v>
      </c>
      <c r="K806" s="254" t="str">
        <f t="shared" si="136"/>
        <v>-</v>
      </c>
      <c r="L806" s="254" t="str">
        <f t="shared" si="136"/>
        <v>-</v>
      </c>
      <c r="M806" s="254" t="str">
        <f t="shared" si="136"/>
        <v>-</v>
      </c>
      <c r="N806" s="255"/>
    </row>
    <row r="807" spans="1:14" s="256" customFormat="1" hidden="1" outlineLevel="2">
      <c r="A807" s="178"/>
      <c r="B807" s="257" t="s">
        <v>199</v>
      </c>
      <c r="C807" s="253" t="s">
        <v>174</v>
      </c>
      <c r="D807" s="173">
        <v>-1</v>
      </c>
      <c r="E807" s="252">
        <v>1.6</v>
      </c>
      <c r="F807" s="252">
        <v>1.7</v>
      </c>
      <c r="G807" s="254" t="str">
        <f t="shared" si="136"/>
        <v>-</v>
      </c>
      <c r="H807" s="254" t="str">
        <f t="shared" si="136"/>
        <v>-</v>
      </c>
      <c r="I807" s="254" t="str">
        <f t="shared" si="136"/>
        <v>-</v>
      </c>
      <c r="J807" s="254" t="str">
        <f t="shared" si="136"/>
        <v>-</v>
      </c>
      <c r="K807" s="254" t="str">
        <f t="shared" si="136"/>
        <v>-</v>
      </c>
      <c r="L807" s="254" t="str">
        <f t="shared" si="136"/>
        <v>-</v>
      </c>
      <c r="M807" s="254" t="str">
        <f t="shared" si="136"/>
        <v>-</v>
      </c>
      <c r="N807" s="255"/>
    </row>
    <row r="808" spans="1:14" s="256" customFormat="1" hidden="1" outlineLevel="2">
      <c r="A808" s="178"/>
      <c r="B808" s="257" t="s">
        <v>200</v>
      </c>
      <c r="C808" s="253" t="s">
        <v>174</v>
      </c>
      <c r="D808" s="173">
        <v>-2</v>
      </c>
      <c r="E808" s="252">
        <v>0.85</v>
      </c>
      <c r="F808" s="252">
        <v>0.55000000000000004</v>
      </c>
      <c r="G808" s="254" t="str">
        <f t="shared" si="136"/>
        <v>-</v>
      </c>
      <c r="H808" s="254" t="str">
        <f t="shared" si="136"/>
        <v>-</v>
      </c>
      <c r="I808" s="254" t="str">
        <f t="shared" si="136"/>
        <v>-</v>
      </c>
      <c r="J808" s="254" t="str">
        <f t="shared" si="136"/>
        <v>-</v>
      </c>
      <c r="K808" s="254" t="str">
        <f t="shared" si="136"/>
        <v>-</v>
      </c>
      <c r="L808" s="254" t="str">
        <f t="shared" si="136"/>
        <v>-</v>
      </c>
      <c r="M808" s="254" t="str">
        <f t="shared" si="136"/>
        <v>-</v>
      </c>
      <c r="N808" s="255"/>
    </row>
    <row r="809" spans="1:14" s="256" customFormat="1" hidden="1" outlineLevel="2">
      <c r="A809" s="178"/>
      <c r="B809" s="258" t="s">
        <v>201</v>
      </c>
      <c r="C809" s="253" t="s">
        <v>174</v>
      </c>
      <c r="D809" s="173">
        <v>1</v>
      </c>
      <c r="E809" s="252">
        <v>2.1</v>
      </c>
      <c r="F809" s="252">
        <v>0.25</v>
      </c>
      <c r="G809" s="254" t="str">
        <f t="shared" si="136"/>
        <v>-</v>
      </c>
      <c r="H809" s="254" t="str">
        <f t="shared" si="136"/>
        <v>-</v>
      </c>
      <c r="I809" s="254" t="str">
        <f t="shared" si="136"/>
        <v>-</v>
      </c>
      <c r="J809" s="254" t="str">
        <f t="shared" si="136"/>
        <v>-</v>
      </c>
      <c r="K809" s="254" t="str">
        <f t="shared" si="136"/>
        <v>-</v>
      </c>
      <c r="L809" s="254" t="str">
        <f t="shared" si="136"/>
        <v>-</v>
      </c>
      <c r="M809" s="254" t="str">
        <f t="shared" si="136"/>
        <v>-</v>
      </c>
      <c r="N809" s="255"/>
    </row>
    <row r="810" spans="1:14" s="256" customFormat="1" hidden="1" outlineLevel="2">
      <c r="A810" s="178"/>
      <c r="B810" s="252" t="s">
        <v>202</v>
      </c>
      <c r="C810" s="253" t="s">
        <v>176</v>
      </c>
      <c r="D810" s="173">
        <v>1</v>
      </c>
      <c r="E810" s="252">
        <v>2.1</v>
      </c>
      <c r="F810" s="252">
        <v>1.05</v>
      </c>
      <c r="G810" s="254" t="str">
        <f t="shared" si="136"/>
        <v>-</v>
      </c>
      <c r="H810" s="254" t="str">
        <f t="shared" si="136"/>
        <v>-</v>
      </c>
      <c r="I810" s="254" t="str">
        <f t="shared" si="136"/>
        <v>-</v>
      </c>
      <c r="J810" s="254" t="str">
        <f t="shared" si="136"/>
        <v>-</v>
      </c>
      <c r="K810" s="254" t="str">
        <f t="shared" si="136"/>
        <v>-</v>
      </c>
      <c r="L810" s="254" t="str">
        <f t="shared" si="136"/>
        <v>-</v>
      </c>
      <c r="M810" s="254" t="str">
        <f t="shared" si="136"/>
        <v>-</v>
      </c>
      <c r="N810" s="255"/>
    </row>
    <row r="811" spans="1:14" s="256" customFormat="1" hidden="1" outlineLevel="2">
      <c r="A811" s="178"/>
      <c r="B811" s="257" t="s">
        <v>203</v>
      </c>
      <c r="C811" s="253" t="s">
        <v>176</v>
      </c>
      <c r="D811" s="173">
        <v>-1</v>
      </c>
      <c r="E811" s="252">
        <v>1.65</v>
      </c>
      <c r="F811" s="252">
        <v>0.7</v>
      </c>
      <c r="G811" s="254" t="str">
        <f t="shared" si="136"/>
        <v>-</v>
      </c>
      <c r="H811" s="254" t="str">
        <f t="shared" si="136"/>
        <v>-</v>
      </c>
      <c r="I811" s="254" t="str">
        <f t="shared" si="136"/>
        <v>-</v>
      </c>
      <c r="J811" s="254" t="str">
        <f t="shared" si="136"/>
        <v>-</v>
      </c>
      <c r="K811" s="254" t="str">
        <f t="shared" si="136"/>
        <v>-</v>
      </c>
      <c r="L811" s="254" t="str">
        <f t="shared" si="136"/>
        <v>-</v>
      </c>
      <c r="M811" s="254" t="str">
        <f t="shared" si="136"/>
        <v>-</v>
      </c>
      <c r="N811" s="255"/>
    </row>
    <row r="812" spans="1:14" s="256" customFormat="1" hidden="1" outlineLevel="2">
      <c r="A812" s="259"/>
      <c r="B812" s="252"/>
      <c r="C812" s="253"/>
      <c r="D812" s="173"/>
      <c r="E812" s="252"/>
      <c r="F812" s="252"/>
      <c r="G812" s="254" t="str">
        <f t="shared" si="136"/>
        <v>-</v>
      </c>
      <c r="H812" s="254" t="str">
        <f t="shared" si="136"/>
        <v>-</v>
      </c>
      <c r="I812" s="254" t="str">
        <f t="shared" si="136"/>
        <v>-</v>
      </c>
      <c r="J812" s="254" t="str">
        <f t="shared" si="136"/>
        <v>-</v>
      </c>
      <c r="K812" s="254" t="str">
        <f t="shared" si="136"/>
        <v>-</v>
      </c>
      <c r="L812" s="254" t="str">
        <f t="shared" si="136"/>
        <v>-</v>
      </c>
      <c r="M812" s="254" t="str">
        <f t="shared" si="136"/>
        <v>-</v>
      </c>
      <c r="N812" s="255"/>
    </row>
    <row r="813" spans="1:14" s="251" customFormat="1" ht="15" hidden="1" outlineLevel="1" collapsed="1">
      <c r="A813" s="245"/>
      <c r="B813" s="246" t="s">
        <v>213</v>
      </c>
      <c r="C813" s="245"/>
      <c r="D813" s="247">
        <v>1</v>
      </c>
      <c r="E813" s="248"/>
      <c r="F813" s="248"/>
      <c r="G813" s="249">
        <f t="shared" ref="G813:M813" si="137">SUBTOTAL(9,G814:G831)</f>
        <v>20.8</v>
      </c>
      <c r="H813" s="249">
        <f t="shared" si="137"/>
        <v>5.3</v>
      </c>
      <c r="I813" s="249">
        <f t="shared" si="137"/>
        <v>4.2799999999999994</v>
      </c>
      <c r="J813" s="249">
        <f t="shared" si="137"/>
        <v>0.36</v>
      </c>
      <c r="K813" s="249">
        <f t="shared" si="137"/>
        <v>0</v>
      </c>
      <c r="L813" s="249">
        <f t="shared" si="137"/>
        <v>0</v>
      </c>
      <c r="M813" s="249">
        <f t="shared" si="137"/>
        <v>0</v>
      </c>
      <c r="N813" s="250"/>
    </row>
    <row r="814" spans="1:14" s="256" customFormat="1" hidden="1" outlineLevel="2">
      <c r="A814" s="178"/>
      <c r="B814" s="252" t="s">
        <v>189</v>
      </c>
      <c r="C814" s="253" t="s">
        <v>169</v>
      </c>
      <c r="D814" s="173">
        <v>1</v>
      </c>
      <c r="E814" s="252">
        <v>20.8</v>
      </c>
      <c r="F814" s="252"/>
      <c r="G814" s="254">
        <f t="shared" ref="G814:M838" si="138">IF($C814=G$5,PRODUCT($D814:$F814),"-")</f>
        <v>20.8</v>
      </c>
      <c r="H814" s="254" t="str">
        <f t="shared" si="138"/>
        <v>-</v>
      </c>
      <c r="I814" s="254" t="str">
        <f t="shared" si="138"/>
        <v>-</v>
      </c>
      <c r="J814" s="254" t="str">
        <f t="shared" si="138"/>
        <v>-</v>
      </c>
      <c r="K814" s="254" t="str">
        <f t="shared" si="138"/>
        <v>-</v>
      </c>
      <c r="L814" s="254" t="str">
        <f t="shared" si="138"/>
        <v>-</v>
      </c>
      <c r="M814" s="254" t="str">
        <f t="shared" si="138"/>
        <v>-</v>
      </c>
      <c r="N814" s="255"/>
    </row>
    <row r="815" spans="1:14" s="256" customFormat="1" hidden="1" outlineLevel="2">
      <c r="A815" s="178"/>
      <c r="B815" s="252" t="s">
        <v>190</v>
      </c>
      <c r="C815" s="253" t="s">
        <v>170</v>
      </c>
      <c r="D815" s="173">
        <v>1</v>
      </c>
      <c r="E815" s="252">
        <v>19.399999999999999</v>
      </c>
      <c r="F815" s="252"/>
      <c r="G815" s="254" t="str">
        <f t="shared" si="138"/>
        <v>-</v>
      </c>
      <c r="H815" s="254" t="str">
        <f t="shared" si="138"/>
        <v>-</v>
      </c>
      <c r="I815" s="254" t="str">
        <f t="shared" si="138"/>
        <v>-</v>
      </c>
      <c r="J815" s="254" t="str">
        <f t="shared" si="138"/>
        <v>-</v>
      </c>
      <c r="K815" s="254" t="str">
        <f t="shared" si="138"/>
        <v>-</v>
      </c>
      <c r="L815" s="254" t="str">
        <f t="shared" si="138"/>
        <v>-</v>
      </c>
      <c r="M815" s="254" t="str">
        <f t="shared" si="138"/>
        <v>-</v>
      </c>
      <c r="N815" s="255"/>
    </row>
    <row r="816" spans="1:14" s="256" customFormat="1" hidden="1" outlineLevel="2">
      <c r="A816" s="178"/>
      <c r="B816" s="257" t="s">
        <v>191</v>
      </c>
      <c r="C816" s="253" t="s">
        <v>170</v>
      </c>
      <c r="D816" s="173">
        <v>-1</v>
      </c>
      <c r="E816" s="252">
        <v>1.2</v>
      </c>
      <c r="F816" s="252"/>
      <c r="G816" s="254" t="str">
        <f t="shared" si="138"/>
        <v>-</v>
      </c>
      <c r="H816" s="254" t="str">
        <f t="shared" si="138"/>
        <v>-</v>
      </c>
      <c r="I816" s="254" t="str">
        <f t="shared" si="138"/>
        <v>-</v>
      </c>
      <c r="J816" s="254" t="str">
        <f t="shared" si="138"/>
        <v>-</v>
      </c>
      <c r="K816" s="254" t="str">
        <f t="shared" si="138"/>
        <v>-</v>
      </c>
      <c r="L816" s="254" t="str">
        <f t="shared" si="138"/>
        <v>-</v>
      </c>
      <c r="M816" s="254" t="str">
        <f t="shared" si="138"/>
        <v>-</v>
      </c>
      <c r="N816" s="255"/>
    </row>
    <row r="817" spans="1:14" s="256" customFormat="1" hidden="1" outlineLevel="2">
      <c r="A817" s="178"/>
      <c r="B817" s="257" t="s">
        <v>192</v>
      </c>
      <c r="C817" s="253" t="s">
        <v>170</v>
      </c>
      <c r="D817" s="173">
        <v>-1</v>
      </c>
      <c r="E817" s="252">
        <v>3.2</v>
      </c>
      <c r="F817" s="252"/>
      <c r="G817" s="254" t="str">
        <f t="shared" si="138"/>
        <v>-</v>
      </c>
      <c r="H817" s="254" t="str">
        <f t="shared" si="138"/>
        <v>-</v>
      </c>
      <c r="I817" s="254" t="str">
        <f t="shared" si="138"/>
        <v>-</v>
      </c>
      <c r="J817" s="254" t="str">
        <f t="shared" si="138"/>
        <v>-</v>
      </c>
      <c r="K817" s="254" t="str">
        <f t="shared" si="138"/>
        <v>-</v>
      </c>
      <c r="L817" s="254" t="str">
        <f t="shared" si="138"/>
        <v>-</v>
      </c>
      <c r="M817" s="254" t="str">
        <f t="shared" si="138"/>
        <v>-</v>
      </c>
      <c r="N817" s="255"/>
    </row>
    <row r="818" spans="1:14" s="256" customFormat="1" hidden="1" outlineLevel="2">
      <c r="A818" s="178"/>
      <c r="B818" s="252" t="s">
        <v>193</v>
      </c>
      <c r="C818" s="253" t="s">
        <v>171</v>
      </c>
      <c r="D818" s="173">
        <v>1</v>
      </c>
      <c r="E818" s="252">
        <v>5.3</v>
      </c>
      <c r="F818" s="252"/>
      <c r="G818" s="254" t="str">
        <f t="shared" si="138"/>
        <v>-</v>
      </c>
      <c r="H818" s="254">
        <f t="shared" si="138"/>
        <v>5.3</v>
      </c>
      <c r="I818" s="254" t="str">
        <f t="shared" si="138"/>
        <v>-</v>
      </c>
      <c r="J818" s="254" t="str">
        <f t="shared" si="138"/>
        <v>-</v>
      </c>
      <c r="K818" s="254" t="str">
        <f t="shared" si="138"/>
        <v>-</v>
      </c>
      <c r="L818" s="254" t="str">
        <f t="shared" si="138"/>
        <v>-</v>
      </c>
      <c r="M818" s="254" t="str">
        <f t="shared" si="138"/>
        <v>-</v>
      </c>
      <c r="N818" s="255"/>
    </row>
    <row r="819" spans="1:14" s="256" customFormat="1" hidden="1" outlineLevel="2">
      <c r="A819" s="178"/>
      <c r="B819" s="252" t="s">
        <v>194</v>
      </c>
      <c r="C819" s="253" t="s">
        <v>172</v>
      </c>
      <c r="D819" s="173">
        <v>1</v>
      </c>
      <c r="E819" s="252">
        <v>11</v>
      </c>
      <c r="F819" s="252"/>
      <c r="G819" s="254" t="str">
        <f t="shared" si="138"/>
        <v>-</v>
      </c>
      <c r="H819" s="254" t="str">
        <f t="shared" si="138"/>
        <v>-</v>
      </c>
      <c r="I819" s="254" t="str">
        <f t="shared" si="138"/>
        <v>-</v>
      </c>
      <c r="J819" s="254" t="str">
        <f t="shared" si="138"/>
        <v>-</v>
      </c>
      <c r="K819" s="254" t="str">
        <f t="shared" si="138"/>
        <v>-</v>
      </c>
      <c r="L819" s="254" t="str">
        <f t="shared" si="138"/>
        <v>-</v>
      </c>
      <c r="M819" s="254" t="str">
        <f t="shared" si="138"/>
        <v>-</v>
      </c>
      <c r="N819" s="255"/>
    </row>
    <row r="820" spans="1:14" s="256" customFormat="1" hidden="1" outlineLevel="2">
      <c r="A820" s="178"/>
      <c r="B820" s="257" t="s">
        <v>191</v>
      </c>
      <c r="C820" s="253" t="s">
        <v>172</v>
      </c>
      <c r="D820" s="173">
        <v>-1</v>
      </c>
      <c r="E820" s="252">
        <f>1.2+0.8*2</f>
        <v>2.8</v>
      </c>
      <c r="F820" s="252"/>
      <c r="G820" s="254" t="str">
        <f t="shared" si="138"/>
        <v>-</v>
      </c>
      <c r="H820" s="254" t="str">
        <f t="shared" si="138"/>
        <v>-</v>
      </c>
      <c r="I820" s="254" t="str">
        <f t="shared" si="138"/>
        <v>-</v>
      </c>
      <c r="J820" s="254" t="str">
        <f t="shared" si="138"/>
        <v>-</v>
      </c>
      <c r="K820" s="254" t="str">
        <f t="shared" si="138"/>
        <v>-</v>
      </c>
      <c r="L820" s="254" t="str">
        <f t="shared" si="138"/>
        <v>-</v>
      </c>
      <c r="M820" s="254" t="str">
        <f t="shared" si="138"/>
        <v>-</v>
      </c>
      <c r="N820" s="255"/>
    </row>
    <row r="821" spans="1:14" s="256" customFormat="1" hidden="1" outlineLevel="2">
      <c r="A821" s="178"/>
      <c r="B821" s="257" t="s">
        <v>195</v>
      </c>
      <c r="C821" s="253" t="s">
        <v>172</v>
      </c>
      <c r="D821" s="173">
        <v>-1</v>
      </c>
      <c r="E821" s="252">
        <v>2</v>
      </c>
      <c r="F821" s="252"/>
      <c r="G821" s="254" t="str">
        <f t="shared" si="138"/>
        <v>-</v>
      </c>
      <c r="H821" s="254" t="str">
        <f t="shared" si="138"/>
        <v>-</v>
      </c>
      <c r="I821" s="254" t="str">
        <f t="shared" si="138"/>
        <v>-</v>
      </c>
      <c r="J821" s="254" t="str">
        <f t="shared" si="138"/>
        <v>-</v>
      </c>
      <c r="K821" s="254" t="str">
        <f t="shared" si="138"/>
        <v>-</v>
      </c>
      <c r="L821" s="254" t="str">
        <f t="shared" si="138"/>
        <v>-</v>
      </c>
      <c r="M821" s="254" t="str">
        <f t="shared" si="138"/>
        <v>-</v>
      </c>
      <c r="N821" s="255"/>
    </row>
    <row r="822" spans="1:14" s="256" customFormat="1" hidden="1" outlineLevel="2">
      <c r="A822" s="178"/>
      <c r="B822" s="252" t="s">
        <v>196</v>
      </c>
      <c r="C822" s="253" t="s">
        <v>173</v>
      </c>
      <c r="D822" s="173">
        <v>1</v>
      </c>
      <c r="E822" s="252">
        <f>4.64-0.18*2</f>
        <v>4.2799999999999994</v>
      </c>
      <c r="F822" s="252"/>
      <c r="G822" s="254" t="str">
        <f t="shared" si="138"/>
        <v>-</v>
      </c>
      <c r="H822" s="254" t="str">
        <f t="shared" si="138"/>
        <v>-</v>
      </c>
      <c r="I822" s="254">
        <f t="shared" si="138"/>
        <v>4.2799999999999994</v>
      </c>
      <c r="J822" s="254" t="str">
        <f t="shared" si="138"/>
        <v>-</v>
      </c>
      <c r="K822" s="254" t="str">
        <f t="shared" si="138"/>
        <v>-</v>
      </c>
      <c r="L822" s="254" t="str">
        <f t="shared" si="138"/>
        <v>-</v>
      </c>
      <c r="M822" s="254" t="str">
        <f t="shared" si="138"/>
        <v>-</v>
      </c>
      <c r="N822" s="255"/>
    </row>
    <row r="823" spans="1:14" s="256" customFormat="1" hidden="1" outlineLevel="2">
      <c r="A823" s="178"/>
      <c r="B823" s="252" t="s">
        <v>197</v>
      </c>
      <c r="C823" s="253" t="s">
        <v>175</v>
      </c>
      <c r="D823" s="173">
        <v>1</v>
      </c>
      <c r="E823" s="252">
        <f>0.3*0.6*2</f>
        <v>0.36</v>
      </c>
      <c r="F823" s="252"/>
      <c r="G823" s="254" t="str">
        <f t="shared" si="138"/>
        <v>-</v>
      </c>
      <c r="H823" s="254" t="str">
        <f t="shared" si="138"/>
        <v>-</v>
      </c>
      <c r="I823" s="254" t="str">
        <f t="shared" si="138"/>
        <v>-</v>
      </c>
      <c r="J823" s="254">
        <f t="shared" si="138"/>
        <v>0.36</v>
      </c>
      <c r="K823" s="254" t="str">
        <f t="shared" si="138"/>
        <v>-</v>
      </c>
      <c r="L823" s="254" t="str">
        <f t="shared" si="138"/>
        <v>-</v>
      </c>
      <c r="M823" s="254" t="str">
        <f t="shared" si="138"/>
        <v>-</v>
      </c>
      <c r="N823" s="255"/>
    </row>
    <row r="824" spans="1:14" s="256" customFormat="1" hidden="1" outlineLevel="2">
      <c r="A824" s="178"/>
      <c r="B824" s="252" t="s">
        <v>198</v>
      </c>
      <c r="C824" s="253" t="s">
        <v>174</v>
      </c>
      <c r="D824" s="173">
        <v>1</v>
      </c>
      <c r="E824" s="252">
        <v>12.2</v>
      </c>
      <c r="F824" s="252">
        <v>2.2999999999999998</v>
      </c>
      <c r="G824" s="254" t="str">
        <f t="shared" si="138"/>
        <v>-</v>
      </c>
      <c r="H824" s="254" t="str">
        <f t="shared" si="138"/>
        <v>-</v>
      </c>
      <c r="I824" s="254" t="str">
        <f t="shared" si="138"/>
        <v>-</v>
      </c>
      <c r="J824" s="254" t="str">
        <f t="shared" si="138"/>
        <v>-</v>
      </c>
      <c r="K824" s="254" t="str">
        <f t="shared" si="138"/>
        <v>-</v>
      </c>
      <c r="L824" s="254" t="str">
        <f t="shared" si="138"/>
        <v>-</v>
      </c>
      <c r="M824" s="254" t="str">
        <f t="shared" si="138"/>
        <v>-</v>
      </c>
      <c r="N824" s="255"/>
    </row>
    <row r="825" spans="1:14" s="256" customFormat="1" hidden="1" outlineLevel="2">
      <c r="A825" s="178"/>
      <c r="B825" s="257" t="s">
        <v>212</v>
      </c>
      <c r="C825" s="253" t="s">
        <v>174</v>
      </c>
      <c r="D825" s="173">
        <v>-1</v>
      </c>
      <c r="E825" s="252">
        <v>0.8</v>
      </c>
      <c r="F825" s="252">
        <v>2.2200000000000002</v>
      </c>
      <c r="G825" s="254" t="str">
        <f t="shared" si="138"/>
        <v>-</v>
      </c>
      <c r="H825" s="254" t="str">
        <f t="shared" si="138"/>
        <v>-</v>
      </c>
      <c r="I825" s="254" t="str">
        <f t="shared" si="138"/>
        <v>-</v>
      </c>
      <c r="J825" s="254" t="str">
        <f t="shared" si="138"/>
        <v>-</v>
      </c>
      <c r="K825" s="254" t="str">
        <f t="shared" si="138"/>
        <v>-</v>
      </c>
      <c r="L825" s="254" t="str">
        <f t="shared" si="138"/>
        <v>-</v>
      </c>
      <c r="M825" s="254" t="str">
        <f t="shared" si="138"/>
        <v>-</v>
      </c>
      <c r="N825" s="255"/>
    </row>
    <row r="826" spans="1:14" s="256" customFormat="1" hidden="1" outlineLevel="2">
      <c r="A826" s="178"/>
      <c r="B826" s="257" t="s">
        <v>199</v>
      </c>
      <c r="C826" s="253" t="s">
        <v>174</v>
      </c>
      <c r="D826" s="173">
        <v>-1</v>
      </c>
      <c r="E826" s="252">
        <v>1.75</v>
      </c>
      <c r="F826" s="252">
        <v>1.7</v>
      </c>
      <c r="G826" s="254" t="str">
        <f t="shared" si="138"/>
        <v>-</v>
      </c>
      <c r="H826" s="254" t="str">
        <f t="shared" si="138"/>
        <v>-</v>
      </c>
      <c r="I826" s="254" t="str">
        <f t="shared" si="138"/>
        <v>-</v>
      </c>
      <c r="J826" s="254" t="str">
        <f t="shared" si="138"/>
        <v>-</v>
      </c>
      <c r="K826" s="254" t="str">
        <f t="shared" si="138"/>
        <v>-</v>
      </c>
      <c r="L826" s="254" t="str">
        <f t="shared" si="138"/>
        <v>-</v>
      </c>
      <c r="M826" s="254" t="str">
        <f t="shared" si="138"/>
        <v>-</v>
      </c>
      <c r="N826" s="255"/>
    </row>
    <row r="827" spans="1:14" s="256" customFormat="1" hidden="1" outlineLevel="2">
      <c r="A827" s="178"/>
      <c r="B827" s="257" t="s">
        <v>200</v>
      </c>
      <c r="C827" s="253" t="s">
        <v>174</v>
      </c>
      <c r="D827" s="173">
        <v>-2</v>
      </c>
      <c r="E827" s="252">
        <v>0.85</v>
      </c>
      <c r="F827" s="252">
        <v>0.55000000000000004</v>
      </c>
      <c r="G827" s="254" t="str">
        <f t="shared" si="138"/>
        <v>-</v>
      </c>
      <c r="H827" s="254" t="str">
        <f t="shared" si="138"/>
        <v>-</v>
      </c>
      <c r="I827" s="254" t="str">
        <f t="shared" si="138"/>
        <v>-</v>
      </c>
      <c r="J827" s="254" t="str">
        <f t="shared" si="138"/>
        <v>-</v>
      </c>
      <c r="K827" s="254" t="str">
        <f t="shared" si="138"/>
        <v>-</v>
      </c>
      <c r="L827" s="254" t="str">
        <f t="shared" si="138"/>
        <v>-</v>
      </c>
      <c r="M827" s="254" t="str">
        <f t="shared" si="138"/>
        <v>-</v>
      </c>
      <c r="N827" s="255"/>
    </row>
    <row r="828" spans="1:14" s="256" customFormat="1" hidden="1" outlineLevel="2">
      <c r="A828" s="178"/>
      <c r="B828" s="258" t="s">
        <v>201</v>
      </c>
      <c r="C828" s="253" t="s">
        <v>174</v>
      </c>
      <c r="D828" s="173">
        <v>1</v>
      </c>
      <c r="E828" s="252">
        <v>2.15</v>
      </c>
      <c r="F828" s="252">
        <v>0.25</v>
      </c>
      <c r="G828" s="254" t="str">
        <f t="shared" si="138"/>
        <v>-</v>
      </c>
      <c r="H828" s="254" t="str">
        <f t="shared" si="138"/>
        <v>-</v>
      </c>
      <c r="I828" s="254" t="str">
        <f t="shared" si="138"/>
        <v>-</v>
      </c>
      <c r="J828" s="254" t="str">
        <f t="shared" si="138"/>
        <v>-</v>
      </c>
      <c r="K828" s="254" t="str">
        <f t="shared" si="138"/>
        <v>-</v>
      </c>
      <c r="L828" s="254" t="str">
        <f t="shared" si="138"/>
        <v>-</v>
      </c>
      <c r="M828" s="254" t="str">
        <f t="shared" si="138"/>
        <v>-</v>
      </c>
      <c r="N828" s="255"/>
    </row>
    <row r="829" spans="1:14" s="256" customFormat="1" hidden="1" outlineLevel="2">
      <c r="A829" s="178"/>
      <c r="B829" s="252" t="s">
        <v>202</v>
      </c>
      <c r="C829" s="253" t="s">
        <v>176</v>
      </c>
      <c r="D829" s="173">
        <v>1</v>
      </c>
      <c r="E829" s="252">
        <v>2.15</v>
      </c>
      <c r="F829" s="252">
        <v>0.85</v>
      </c>
      <c r="G829" s="254" t="str">
        <f t="shared" si="138"/>
        <v>-</v>
      </c>
      <c r="H829" s="254" t="str">
        <f t="shared" si="138"/>
        <v>-</v>
      </c>
      <c r="I829" s="254" t="str">
        <f t="shared" si="138"/>
        <v>-</v>
      </c>
      <c r="J829" s="254" t="str">
        <f t="shared" si="138"/>
        <v>-</v>
      </c>
      <c r="K829" s="254" t="str">
        <f t="shared" si="138"/>
        <v>-</v>
      </c>
      <c r="L829" s="254" t="str">
        <f t="shared" si="138"/>
        <v>-</v>
      </c>
      <c r="M829" s="254" t="str">
        <f t="shared" si="138"/>
        <v>-</v>
      </c>
      <c r="N829" s="255"/>
    </row>
    <row r="830" spans="1:14" s="256" customFormat="1" hidden="1" outlineLevel="2">
      <c r="A830" s="178"/>
      <c r="B830" s="257" t="s">
        <v>203</v>
      </c>
      <c r="C830" s="253" t="s">
        <v>176</v>
      </c>
      <c r="D830" s="173">
        <v>-1</v>
      </c>
      <c r="E830" s="252">
        <v>1.65</v>
      </c>
      <c r="F830" s="252">
        <v>0.7</v>
      </c>
      <c r="G830" s="254" t="str">
        <f t="shared" si="138"/>
        <v>-</v>
      </c>
      <c r="H830" s="254" t="str">
        <f t="shared" si="138"/>
        <v>-</v>
      </c>
      <c r="I830" s="254" t="str">
        <f t="shared" si="138"/>
        <v>-</v>
      </c>
      <c r="J830" s="254" t="str">
        <f t="shared" si="138"/>
        <v>-</v>
      </c>
      <c r="K830" s="254" t="str">
        <f t="shared" si="138"/>
        <v>-</v>
      </c>
      <c r="L830" s="254" t="str">
        <f t="shared" si="138"/>
        <v>-</v>
      </c>
      <c r="M830" s="254" t="str">
        <f t="shared" si="138"/>
        <v>-</v>
      </c>
      <c r="N830" s="255"/>
    </row>
    <row r="831" spans="1:14" s="256" customFormat="1" hidden="1" outlineLevel="2">
      <c r="A831" s="259"/>
      <c r="B831" s="252"/>
      <c r="C831" s="253"/>
      <c r="D831" s="173"/>
      <c r="E831" s="252"/>
      <c r="F831" s="252"/>
      <c r="G831" s="254" t="str">
        <f t="shared" si="138"/>
        <v>-</v>
      </c>
      <c r="H831" s="254" t="str">
        <f t="shared" si="138"/>
        <v>-</v>
      </c>
      <c r="I831" s="254" t="str">
        <f t="shared" si="138"/>
        <v>-</v>
      </c>
      <c r="J831" s="254" t="str">
        <f t="shared" si="138"/>
        <v>-</v>
      </c>
      <c r="K831" s="254" t="str">
        <f t="shared" si="138"/>
        <v>-</v>
      </c>
      <c r="L831" s="254" t="str">
        <f t="shared" si="138"/>
        <v>-</v>
      </c>
      <c r="M831" s="254" t="str">
        <f t="shared" si="138"/>
        <v>-</v>
      </c>
      <c r="N831" s="255"/>
    </row>
    <row r="832" spans="1:14" s="251" customFormat="1" ht="15" hidden="1" outlineLevel="1" collapsed="1">
      <c r="A832" s="245"/>
      <c r="B832" s="246" t="s">
        <v>214</v>
      </c>
      <c r="C832" s="245"/>
      <c r="D832" s="247">
        <v>1</v>
      </c>
      <c r="E832" s="248"/>
      <c r="F832" s="248"/>
      <c r="G832" s="249">
        <f t="shared" ref="G832:M832" si="139">SUBTOTAL(9,G833:G843)</f>
        <v>21.3</v>
      </c>
      <c r="H832" s="249">
        <f t="shared" si="139"/>
        <v>12.4</v>
      </c>
      <c r="I832" s="249">
        <f t="shared" si="139"/>
        <v>2.7</v>
      </c>
      <c r="J832" s="249">
        <f t="shared" si="139"/>
        <v>0</v>
      </c>
      <c r="K832" s="249">
        <f t="shared" si="139"/>
        <v>0</v>
      </c>
      <c r="L832" s="249">
        <f t="shared" si="139"/>
        <v>0</v>
      </c>
      <c r="M832" s="249">
        <f t="shared" si="139"/>
        <v>0</v>
      </c>
      <c r="N832" s="250"/>
    </row>
    <row r="833" spans="1:14" s="256" customFormat="1" hidden="1" outlineLevel="2">
      <c r="A833" s="178"/>
      <c r="B833" s="252" t="s">
        <v>189</v>
      </c>
      <c r="C833" s="253" t="s">
        <v>169</v>
      </c>
      <c r="D833" s="173">
        <v>1</v>
      </c>
      <c r="E833" s="252">
        <v>21.3</v>
      </c>
      <c r="F833" s="252"/>
      <c r="G833" s="254">
        <f t="shared" si="138"/>
        <v>21.3</v>
      </c>
      <c r="H833" s="254" t="str">
        <f t="shared" si="138"/>
        <v>-</v>
      </c>
      <c r="I833" s="254" t="str">
        <f t="shared" si="138"/>
        <v>-</v>
      </c>
      <c r="J833" s="254" t="str">
        <f t="shared" si="138"/>
        <v>-</v>
      </c>
      <c r="K833" s="254" t="str">
        <f t="shared" si="138"/>
        <v>-</v>
      </c>
      <c r="L833" s="254" t="str">
        <f t="shared" si="138"/>
        <v>-</v>
      </c>
      <c r="M833" s="254" t="str">
        <f t="shared" si="138"/>
        <v>-</v>
      </c>
      <c r="N833" s="255"/>
    </row>
    <row r="834" spans="1:14" s="256" customFormat="1" hidden="1" outlineLevel="2">
      <c r="A834" s="178"/>
      <c r="B834" s="252" t="s">
        <v>190</v>
      </c>
      <c r="C834" s="253" t="s">
        <v>170</v>
      </c>
      <c r="D834" s="173">
        <v>1</v>
      </c>
      <c r="E834" s="252">
        <v>20.399999999999999</v>
      </c>
      <c r="F834" s="252"/>
      <c r="G834" s="254" t="str">
        <f t="shared" si="138"/>
        <v>-</v>
      </c>
      <c r="H834" s="254" t="str">
        <f t="shared" si="138"/>
        <v>-</v>
      </c>
      <c r="I834" s="254" t="str">
        <f t="shared" si="138"/>
        <v>-</v>
      </c>
      <c r="J834" s="254" t="str">
        <f t="shared" si="138"/>
        <v>-</v>
      </c>
      <c r="K834" s="254" t="str">
        <f t="shared" si="138"/>
        <v>-</v>
      </c>
      <c r="L834" s="254" t="str">
        <f t="shared" si="138"/>
        <v>-</v>
      </c>
      <c r="M834" s="254" t="str">
        <f t="shared" si="138"/>
        <v>-</v>
      </c>
      <c r="N834" s="255"/>
    </row>
    <row r="835" spans="1:14" s="256" customFormat="1" hidden="1" outlineLevel="2">
      <c r="A835" s="178"/>
      <c r="B835" s="257" t="s">
        <v>191</v>
      </c>
      <c r="C835" s="253" t="s">
        <v>170</v>
      </c>
      <c r="D835" s="173">
        <v>-1</v>
      </c>
      <c r="E835" s="252">
        <f>2.6+0.8</f>
        <v>3.4000000000000004</v>
      </c>
      <c r="F835" s="252"/>
      <c r="G835" s="254" t="str">
        <f t="shared" si="138"/>
        <v>-</v>
      </c>
      <c r="H835" s="254" t="str">
        <f t="shared" si="138"/>
        <v>-</v>
      </c>
      <c r="I835" s="254" t="str">
        <f t="shared" si="138"/>
        <v>-</v>
      </c>
      <c r="J835" s="254" t="str">
        <f t="shared" si="138"/>
        <v>-</v>
      </c>
      <c r="K835" s="254" t="str">
        <f t="shared" si="138"/>
        <v>-</v>
      </c>
      <c r="L835" s="254" t="str">
        <f t="shared" si="138"/>
        <v>-</v>
      </c>
      <c r="M835" s="254" t="str">
        <f t="shared" si="138"/>
        <v>-</v>
      </c>
      <c r="N835" s="255"/>
    </row>
    <row r="836" spans="1:14" s="256" customFormat="1" hidden="1" outlineLevel="2">
      <c r="A836" s="178"/>
      <c r="B836" s="257" t="s">
        <v>192</v>
      </c>
      <c r="C836" s="253" t="s">
        <v>170</v>
      </c>
      <c r="D836" s="173">
        <v>-1</v>
      </c>
      <c r="E836" s="252">
        <v>2.8</v>
      </c>
      <c r="F836" s="252"/>
      <c r="G836" s="254" t="str">
        <f t="shared" si="138"/>
        <v>-</v>
      </c>
      <c r="H836" s="254" t="str">
        <f t="shared" si="138"/>
        <v>-</v>
      </c>
      <c r="I836" s="254" t="str">
        <f t="shared" si="138"/>
        <v>-</v>
      </c>
      <c r="J836" s="254" t="str">
        <f t="shared" si="138"/>
        <v>-</v>
      </c>
      <c r="K836" s="254" t="str">
        <f t="shared" si="138"/>
        <v>-</v>
      </c>
      <c r="L836" s="254" t="str">
        <f t="shared" si="138"/>
        <v>-</v>
      </c>
      <c r="M836" s="254" t="str">
        <f t="shared" si="138"/>
        <v>-</v>
      </c>
      <c r="N836" s="255"/>
    </row>
    <row r="837" spans="1:14" s="256" customFormat="1" hidden="1" outlineLevel="2">
      <c r="A837" s="178"/>
      <c r="B837" s="252" t="s">
        <v>193</v>
      </c>
      <c r="C837" s="253" t="s">
        <v>171</v>
      </c>
      <c r="D837" s="173">
        <v>1</v>
      </c>
      <c r="E837" s="252">
        <v>12.4</v>
      </c>
      <c r="F837" s="252"/>
      <c r="G837" s="254" t="str">
        <f t="shared" si="138"/>
        <v>-</v>
      </c>
      <c r="H837" s="254">
        <f t="shared" si="138"/>
        <v>12.4</v>
      </c>
      <c r="I837" s="254" t="str">
        <f t="shared" si="138"/>
        <v>-</v>
      </c>
      <c r="J837" s="254" t="str">
        <f t="shared" si="138"/>
        <v>-</v>
      </c>
      <c r="K837" s="254" t="str">
        <f t="shared" si="138"/>
        <v>-</v>
      </c>
      <c r="L837" s="254" t="str">
        <f t="shared" si="138"/>
        <v>-</v>
      </c>
      <c r="M837" s="254" t="str">
        <f t="shared" si="138"/>
        <v>-</v>
      </c>
      <c r="N837" s="255"/>
    </row>
    <row r="838" spans="1:14" s="256" customFormat="1" hidden="1" outlineLevel="2">
      <c r="A838" s="178"/>
      <c r="B838" s="252" t="s">
        <v>194</v>
      </c>
      <c r="C838" s="253" t="s">
        <v>172</v>
      </c>
      <c r="D838" s="173">
        <v>1</v>
      </c>
      <c r="E838" s="252">
        <v>15.7</v>
      </c>
      <c r="F838" s="252"/>
      <c r="G838" s="254" t="str">
        <f t="shared" si="138"/>
        <v>-</v>
      </c>
      <c r="H838" s="254" t="str">
        <f t="shared" ref="H838:M838" si="140">IF($C838=H$5,PRODUCT($D838:$F838),"-")</f>
        <v>-</v>
      </c>
      <c r="I838" s="254" t="str">
        <f t="shared" si="140"/>
        <v>-</v>
      </c>
      <c r="J838" s="254" t="str">
        <f t="shared" si="140"/>
        <v>-</v>
      </c>
      <c r="K838" s="254" t="str">
        <f t="shared" si="140"/>
        <v>-</v>
      </c>
      <c r="L838" s="254" t="str">
        <f t="shared" si="140"/>
        <v>-</v>
      </c>
      <c r="M838" s="254" t="str">
        <f t="shared" si="140"/>
        <v>-</v>
      </c>
      <c r="N838" s="255"/>
    </row>
    <row r="839" spans="1:14" s="256" customFormat="1" hidden="1" outlineLevel="2">
      <c r="A839" s="178"/>
      <c r="B839" s="257" t="s">
        <v>191</v>
      </c>
      <c r="C839" s="253" t="s">
        <v>172</v>
      </c>
      <c r="D839" s="173">
        <v>-1</v>
      </c>
      <c r="E839" s="252">
        <f>2.6+0.8</f>
        <v>3.4000000000000004</v>
      </c>
      <c r="F839" s="252"/>
      <c r="G839" s="254" t="str">
        <f t="shared" ref="G839:M843" si="141">IF($C839=G$5,PRODUCT($D839:$F839),"-")</f>
        <v>-</v>
      </c>
      <c r="H839" s="254" t="str">
        <f t="shared" si="141"/>
        <v>-</v>
      </c>
      <c r="I839" s="254" t="str">
        <f t="shared" si="141"/>
        <v>-</v>
      </c>
      <c r="J839" s="254" t="str">
        <f t="shared" si="141"/>
        <v>-</v>
      </c>
      <c r="K839" s="254" t="str">
        <f t="shared" si="141"/>
        <v>-</v>
      </c>
      <c r="L839" s="254" t="str">
        <f t="shared" si="141"/>
        <v>-</v>
      </c>
      <c r="M839" s="254" t="str">
        <f t="shared" si="141"/>
        <v>-</v>
      </c>
      <c r="N839" s="255"/>
    </row>
    <row r="840" spans="1:14" s="256" customFormat="1" hidden="1" outlineLevel="2">
      <c r="A840" s="178"/>
      <c r="B840" s="252" t="s">
        <v>196</v>
      </c>
      <c r="C840" s="253" t="s">
        <v>173</v>
      </c>
      <c r="D840" s="173">
        <v>1</v>
      </c>
      <c r="E840" s="252">
        <v>2.7</v>
      </c>
      <c r="F840" s="252"/>
      <c r="G840" s="254" t="str">
        <f t="shared" si="141"/>
        <v>-</v>
      </c>
      <c r="H840" s="254" t="str">
        <f t="shared" si="141"/>
        <v>-</v>
      </c>
      <c r="I840" s="254">
        <f t="shared" si="141"/>
        <v>2.7</v>
      </c>
      <c r="J840" s="254" t="str">
        <f t="shared" si="141"/>
        <v>-</v>
      </c>
      <c r="K840" s="254" t="str">
        <f t="shared" si="141"/>
        <v>-</v>
      </c>
      <c r="L840" s="254" t="str">
        <f t="shared" si="141"/>
        <v>-</v>
      </c>
      <c r="M840" s="254" t="str">
        <f t="shared" si="141"/>
        <v>-</v>
      </c>
      <c r="N840" s="255"/>
    </row>
    <row r="841" spans="1:14" s="256" customFormat="1" hidden="1" outlineLevel="2">
      <c r="A841" s="178"/>
      <c r="B841" s="252" t="s">
        <v>198</v>
      </c>
      <c r="C841" s="253" t="s">
        <v>174</v>
      </c>
      <c r="D841" s="173">
        <v>1</v>
      </c>
      <c r="E841" s="252">
        <v>6.7</v>
      </c>
      <c r="F841" s="252">
        <v>2.2999999999999998</v>
      </c>
      <c r="G841" s="254" t="str">
        <f t="shared" si="141"/>
        <v>-</v>
      </c>
      <c r="H841" s="254" t="str">
        <f t="shared" si="141"/>
        <v>-</v>
      </c>
      <c r="I841" s="254" t="str">
        <f t="shared" si="141"/>
        <v>-</v>
      </c>
      <c r="J841" s="254" t="str">
        <f t="shared" si="141"/>
        <v>-</v>
      </c>
      <c r="K841" s="254" t="str">
        <f t="shared" si="141"/>
        <v>-</v>
      </c>
      <c r="L841" s="254" t="str">
        <f t="shared" si="141"/>
        <v>-</v>
      </c>
      <c r="M841" s="254" t="str">
        <f t="shared" si="141"/>
        <v>-</v>
      </c>
      <c r="N841" s="255"/>
    </row>
    <row r="842" spans="1:14" s="256" customFormat="1" hidden="1" outlineLevel="2">
      <c r="A842" s="178"/>
      <c r="B842" s="257" t="s">
        <v>191</v>
      </c>
      <c r="C842" s="253" t="s">
        <v>174</v>
      </c>
      <c r="D842" s="173">
        <v>-1</v>
      </c>
      <c r="E842" s="252">
        <v>0.8</v>
      </c>
      <c r="F842" s="252">
        <v>2.2000000000000002</v>
      </c>
      <c r="G842" s="254" t="str">
        <f t="shared" si="141"/>
        <v>-</v>
      </c>
      <c r="H842" s="254" t="str">
        <f t="shared" si="141"/>
        <v>-</v>
      </c>
      <c r="I842" s="254" t="str">
        <f t="shared" si="141"/>
        <v>-</v>
      </c>
      <c r="J842" s="254" t="str">
        <f t="shared" si="141"/>
        <v>-</v>
      </c>
      <c r="K842" s="254" t="str">
        <f t="shared" si="141"/>
        <v>-</v>
      </c>
      <c r="L842" s="254" t="str">
        <f t="shared" si="141"/>
        <v>-</v>
      </c>
      <c r="M842" s="254" t="str">
        <f t="shared" si="141"/>
        <v>-</v>
      </c>
      <c r="N842" s="255"/>
    </row>
    <row r="843" spans="1:14" s="256" customFormat="1" hidden="1" outlineLevel="2">
      <c r="A843" s="259"/>
      <c r="B843" s="252"/>
      <c r="C843" s="253"/>
      <c r="D843" s="173"/>
      <c r="E843" s="252"/>
      <c r="F843" s="252"/>
      <c r="G843" s="254" t="str">
        <f t="shared" si="141"/>
        <v>-</v>
      </c>
      <c r="H843" s="254" t="str">
        <f t="shared" si="141"/>
        <v>-</v>
      </c>
      <c r="I843" s="254" t="str">
        <f t="shared" si="141"/>
        <v>-</v>
      </c>
      <c r="J843" s="254" t="str">
        <f t="shared" si="141"/>
        <v>-</v>
      </c>
      <c r="K843" s="254" t="str">
        <f t="shared" si="141"/>
        <v>-</v>
      </c>
      <c r="L843" s="254" t="str">
        <f t="shared" si="141"/>
        <v>-</v>
      </c>
      <c r="M843" s="254" t="str">
        <f t="shared" si="141"/>
        <v>-</v>
      </c>
      <c r="N843" s="255"/>
    </row>
    <row r="844" spans="1:14" s="251" customFormat="1" ht="15" hidden="1" outlineLevel="1" collapsed="1">
      <c r="A844" s="245"/>
      <c r="B844" s="246" t="s">
        <v>215</v>
      </c>
      <c r="C844" s="245"/>
      <c r="D844" s="247">
        <v>1</v>
      </c>
      <c r="E844" s="248"/>
      <c r="F844" s="248"/>
      <c r="G844" s="249">
        <f t="shared" ref="G844:M844" si="142">SUBTOTAL(9,G845:G863)</f>
        <v>41.099999999999994</v>
      </c>
      <c r="H844" s="249">
        <f t="shared" si="142"/>
        <v>9.5</v>
      </c>
      <c r="I844" s="249">
        <f t="shared" si="142"/>
        <v>8.9799999999999986</v>
      </c>
      <c r="J844" s="249">
        <f t="shared" si="142"/>
        <v>0.72</v>
      </c>
      <c r="K844" s="249">
        <f t="shared" si="142"/>
        <v>0</v>
      </c>
      <c r="L844" s="249">
        <f t="shared" si="142"/>
        <v>0</v>
      </c>
      <c r="M844" s="249">
        <f t="shared" si="142"/>
        <v>0</v>
      </c>
      <c r="N844" s="250"/>
    </row>
    <row r="845" spans="1:14" s="256" customFormat="1" hidden="1" outlineLevel="2">
      <c r="A845" s="178"/>
      <c r="B845" s="252" t="s">
        <v>189</v>
      </c>
      <c r="C845" s="253" t="s">
        <v>169</v>
      </c>
      <c r="D845" s="173">
        <v>1</v>
      </c>
      <c r="E845" s="252">
        <f>20.4+20.7</f>
        <v>41.099999999999994</v>
      </c>
      <c r="F845" s="252"/>
      <c r="G845" s="254">
        <f t="shared" ref="G845:M863" si="143">IF($C845=G$5,PRODUCT($D845:$F845),"-")</f>
        <v>41.099999999999994</v>
      </c>
      <c r="H845" s="254" t="str">
        <f t="shared" si="143"/>
        <v>-</v>
      </c>
      <c r="I845" s="254" t="str">
        <f t="shared" si="143"/>
        <v>-</v>
      </c>
      <c r="J845" s="254" t="str">
        <f t="shared" si="143"/>
        <v>-</v>
      </c>
      <c r="K845" s="254" t="str">
        <f t="shared" si="143"/>
        <v>-</v>
      </c>
      <c r="L845" s="254" t="str">
        <f t="shared" si="143"/>
        <v>-</v>
      </c>
      <c r="M845" s="254" t="str">
        <f t="shared" si="143"/>
        <v>-</v>
      </c>
      <c r="N845" s="255"/>
    </row>
    <row r="846" spans="1:14" s="256" customFormat="1" hidden="1" outlineLevel="2">
      <c r="A846" s="178"/>
      <c r="B846" s="252" t="s">
        <v>190</v>
      </c>
      <c r="C846" s="253" t="s">
        <v>170</v>
      </c>
      <c r="D846" s="173">
        <v>1</v>
      </c>
      <c r="E846" s="252">
        <f>19.4+19.1</f>
        <v>38.5</v>
      </c>
      <c r="F846" s="252"/>
      <c r="G846" s="254" t="str">
        <f t="shared" si="143"/>
        <v>-</v>
      </c>
      <c r="H846" s="254" t="str">
        <f t="shared" si="143"/>
        <v>-</v>
      </c>
      <c r="I846" s="254" t="str">
        <f t="shared" si="143"/>
        <v>-</v>
      </c>
      <c r="J846" s="254" t="str">
        <f t="shared" si="143"/>
        <v>-</v>
      </c>
      <c r="K846" s="254" t="str">
        <f t="shared" si="143"/>
        <v>-</v>
      </c>
      <c r="L846" s="254" t="str">
        <f t="shared" si="143"/>
        <v>-</v>
      </c>
      <c r="M846" s="254" t="str">
        <f t="shared" si="143"/>
        <v>-</v>
      </c>
      <c r="N846" s="255"/>
    </row>
    <row r="847" spans="1:14" s="256" customFormat="1" hidden="1" outlineLevel="2">
      <c r="A847" s="178"/>
      <c r="B847" s="257" t="s">
        <v>191</v>
      </c>
      <c r="C847" s="253" t="s">
        <v>170</v>
      </c>
      <c r="D847" s="173">
        <v>-1</v>
      </c>
      <c r="E847" s="252">
        <f>1.75+1.2</f>
        <v>2.95</v>
      </c>
      <c r="F847" s="252"/>
      <c r="G847" s="254" t="str">
        <f t="shared" si="143"/>
        <v>-</v>
      </c>
      <c r="H847" s="254" t="str">
        <f t="shared" si="143"/>
        <v>-</v>
      </c>
      <c r="I847" s="254" t="str">
        <f t="shared" si="143"/>
        <v>-</v>
      </c>
      <c r="J847" s="254" t="str">
        <f t="shared" si="143"/>
        <v>-</v>
      </c>
      <c r="K847" s="254" t="str">
        <f t="shared" si="143"/>
        <v>-</v>
      </c>
      <c r="L847" s="254" t="str">
        <f t="shared" si="143"/>
        <v>-</v>
      </c>
      <c r="M847" s="254" t="str">
        <f t="shared" si="143"/>
        <v>-</v>
      </c>
      <c r="N847" s="255"/>
    </row>
    <row r="848" spans="1:14" s="256" customFormat="1" hidden="1" outlineLevel="2">
      <c r="A848" s="178"/>
      <c r="B848" s="257" t="s">
        <v>192</v>
      </c>
      <c r="C848" s="253" t="s">
        <v>170</v>
      </c>
      <c r="D848" s="173">
        <v>-2</v>
      </c>
      <c r="E848" s="252">
        <f>2.8</f>
        <v>2.8</v>
      </c>
      <c r="F848" s="252"/>
      <c r="G848" s="254" t="str">
        <f t="shared" si="143"/>
        <v>-</v>
      </c>
      <c r="H848" s="254" t="str">
        <f t="shared" si="143"/>
        <v>-</v>
      </c>
      <c r="I848" s="254" t="str">
        <f t="shared" si="143"/>
        <v>-</v>
      </c>
      <c r="J848" s="254" t="str">
        <f t="shared" si="143"/>
        <v>-</v>
      </c>
      <c r="K848" s="254" t="str">
        <f t="shared" si="143"/>
        <v>-</v>
      </c>
      <c r="L848" s="254" t="str">
        <f t="shared" si="143"/>
        <v>-</v>
      </c>
      <c r="M848" s="254" t="str">
        <f t="shared" si="143"/>
        <v>-</v>
      </c>
      <c r="N848" s="255"/>
    </row>
    <row r="849" spans="1:14" s="256" customFormat="1" hidden="1" outlineLevel="2">
      <c r="A849" s="178"/>
      <c r="B849" s="252" t="s">
        <v>193</v>
      </c>
      <c r="C849" s="253" t="s">
        <v>171</v>
      </c>
      <c r="D849" s="173">
        <v>1</v>
      </c>
      <c r="E849" s="252">
        <f>4.2+5.3</f>
        <v>9.5</v>
      </c>
      <c r="F849" s="252"/>
      <c r="G849" s="254" t="str">
        <f t="shared" si="143"/>
        <v>-</v>
      </c>
      <c r="H849" s="254">
        <f t="shared" si="143"/>
        <v>9.5</v>
      </c>
      <c r="I849" s="254" t="str">
        <f t="shared" si="143"/>
        <v>-</v>
      </c>
      <c r="J849" s="254" t="str">
        <f t="shared" si="143"/>
        <v>-</v>
      </c>
      <c r="K849" s="254" t="str">
        <f t="shared" si="143"/>
        <v>-</v>
      </c>
      <c r="L849" s="254" t="str">
        <f t="shared" si="143"/>
        <v>-</v>
      </c>
      <c r="M849" s="254" t="str">
        <f t="shared" si="143"/>
        <v>-</v>
      </c>
      <c r="N849" s="255"/>
    </row>
    <row r="850" spans="1:14" s="256" customFormat="1" hidden="1" outlineLevel="2">
      <c r="A850" s="178"/>
      <c r="B850" s="252" t="s">
        <v>194</v>
      </c>
      <c r="C850" s="253" t="s">
        <v>172</v>
      </c>
      <c r="D850" s="173">
        <v>1</v>
      </c>
      <c r="E850" s="252">
        <f>11+13</f>
        <v>24</v>
      </c>
      <c r="F850" s="252"/>
      <c r="G850" s="254" t="str">
        <f t="shared" si="143"/>
        <v>-</v>
      </c>
      <c r="H850" s="254" t="str">
        <f t="shared" si="143"/>
        <v>-</v>
      </c>
      <c r="I850" s="254" t="str">
        <f t="shared" si="143"/>
        <v>-</v>
      </c>
      <c r="J850" s="254" t="str">
        <f t="shared" si="143"/>
        <v>-</v>
      </c>
      <c r="K850" s="254" t="str">
        <f t="shared" si="143"/>
        <v>-</v>
      </c>
      <c r="L850" s="254" t="str">
        <f t="shared" si="143"/>
        <v>-</v>
      </c>
      <c r="M850" s="254" t="str">
        <f t="shared" si="143"/>
        <v>-</v>
      </c>
      <c r="N850" s="255"/>
    </row>
    <row r="851" spans="1:14" s="256" customFormat="1" hidden="1" outlineLevel="2">
      <c r="A851" s="178"/>
      <c r="B851" s="257" t="s">
        <v>191</v>
      </c>
      <c r="C851" s="253" t="s">
        <v>172</v>
      </c>
      <c r="D851" s="173">
        <v>-1</v>
      </c>
      <c r="E851" s="252">
        <f>1.75+1.2+0.8*4</f>
        <v>6.15</v>
      </c>
      <c r="F851" s="252"/>
      <c r="G851" s="254" t="str">
        <f t="shared" si="143"/>
        <v>-</v>
      </c>
      <c r="H851" s="254" t="str">
        <f t="shared" si="143"/>
        <v>-</v>
      </c>
      <c r="I851" s="254" t="str">
        <f t="shared" si="143"/>
        <v>-</v>
      </c>
      <c r="J851" s="254" t="str">
        <f t="shared" si="143"/>
        <v>-</v>
      </c>
      <c r="K851" s="254" t="str">
        <f t="shared" si="143"/>
        <v>-</v>
      </c>
      <c r="L851" s="254" t="str">
        <f t="shared" si="143"/>
        <v>-</v>
      </c>
      <c r="M851" s="254" t="str">
        <f t="shared" si="143"/>
        <v>-</v>
      </c>
      <c r="N851" s="255"/>
    </row>
    <row r="852" spans="1:14" s="256" customFormat="1" hidden="1" outlineLevel="2">
      <c r="A852" s="178"/>
      <c r="B852" s="257" t="s">
        <v>195</v>
      </c>
      <c r="C852" s="253" t="s">
        <v>172</v>
      </c>
      <c r="D852" s="173">
        <v>-1</v>
      </c>
      <c r="E852" s="252">
        <v>2.6</v>
      </c>
      <c r="F852" s="252"/>
      <c r="G852" s="254" t="str">
        <f t="shared" si="143"/>
        <v>-</v>
      </c>
      <c r="H852" s="254" t="str">
        <f t="shared" si="143"/>
        <v>-</v>
      </c>
      <c r="I852" s="254" t="str">
        <f t="shared" si="143"/>
        <v>-</v>
      </c>
      <c r="J852" s="254" t="str">
        <f t="shared" si="143"/>
        <v>-</v>
      </c>
      <c r="K852" s="254" t="str">
        <f t="shared" si="143"/>
        <v>-</v>
      </c>
      <c r="L852" s="254" t="str">
        <f t="shared" si="143"/>
        <v>-</v>
      </c>
      <c r="M852" s="254" t="str">
        <f t="shared" si="143"/>
        <v>-</v>
      </c>
      <c r="N852" s="255"/>
    </row>
    <row r="853" spans="1:14" s="256" customFormat="1" hidden="1" outlineLevel="2">
      <c r="A853" s="178"/>
      <c r="B853" s="252" t="s">
        <v>196</v>
      </c>
      <c r="C853" s="253" t="s">
        <v>173</v>
      </c>
      <c r="D853" s="173">
        <v>1</v>
      </c>
      <c r="E853" s="252">
        <f>5.2+4.5-0.36*2</f>
        <v>8.9799999999999986</v>
      </c>
      <c r="F853" s="252"/>
      <c r="G853" s="254" t="str">
        <f t="shared" si="143"/>
        <v>-</v>
      </c>
      <c r="H853" s="254" t="str">
        <f t="shared" si="143"/>
        <v>-</v>
      </c>
      <c r="I853" s="254">
        <f t="shared" si="143"/>
        <v>8.9799999999999986</v>
      </c>
      <c r="J853" s="254" t="str">
        <f t="shared" si="143"/>
        <v>-</v>
      </c>
      <c r="K853" s="254" t="str">
        <f t="shared" si="143"/>
        <v>-</v>
      </c>
      <c r="L853" s="254" t="str">
        <f t="shared" si="143"/>
        <v>-</v>
      </c>
      <c r="M853" s="254" t="str">
        <f t="shared" si="143"/>
        <v>-</v>
      </c>
      <c r="N853" s="255"/>
    </row>
    <row r="854" spans="1:14" s="256" customFormat="1" hidden="1" outlineLevel="2">
      <c r="A854" s="178"/>
      <c r="B854" s="252" t="s">
        <v>197</v>
      </c>
      <c r="C854" s="253" t="s">
        <v>175</v>
      </c>
      <c r="D854" s="173">
        <v>2</v>
      </c>
      <c r="E854" s="252">
        <f>0.3*0.6*2</f>
        <v>0.36</v>
      </c>
      <c r="F854" s="252"/>
      <c r="G854" s="254" t="str">
        <f t="shared" si="143"/>
        <v>-</v>
      </c>
      <c r="H854" s="254" t="str">
        <f t="shared" si="143"/>
        <v>-</v>
      </c>
      <c r="I854" s="254" t="str">
        <f t="shared" si="143"/>
        <v>-</v>
      </c>
      <c r="J854" s="254">
        <f t="shared" si="143"/>
        <v>0.72</v>
      </c>
      <c r="K854" s="254" t="str">
        <f t="shared" si="143"/>
        <v>-</v>
      </c>
      <c r="L854" s="254" t="str">
        <f t="shared" si="143"/>
        <v>-</v>
      </c>
      <c r="M854" s="254" t="str">
        <f t="shared" si="143"/>
        <v>-</v>
      </c>
      <c r="N854" s="255"/>
    </row>
    <row r="855" spans="1:14" s="256" customFormat="1" hidden="1" outlineLevel="2">
      <c r="A855" s="178"/>
      <c r="B855" s="252" t="s">
        <v>198</v>
      </c>
      <c r="C855" s="253" t="s">
        <v>174</v>
      </c>
      <c r="D855" s="173">
        <v>1</v>
      </c>
      <c r="E855" s="252">
        <f>11.4+12</f>
        <v>23.4</v>
      </c>
      <c r="F855" s="252">
        <v>2.2999999999999998</v>
      </c>
      <c r="G855" s="254" t="str">
        <f t="shared" si="143"/>
        <v>-</v>
      </c>
      <c r="H855" s="254" t="str">
        <f t="shared" si="143"/>
        <v>-</v>
      </c>
      <c r="I855" s="254" t="str">
        <f t="shared" si="143"/>
        <v>-</v>
      </c>
      <c r="J855" s="254" t="str">
        <f t="shared" si="143"/>
        <v>-</v>
      </c>
      <c r="K855" s="254" t="str">
        <f t="shared" si="143"/>
        <v>-</v>
      </c>
      <c r="L855" s="254" t="str">
        <f t="shared" si="143"/>
        <v>-</v>
      </c>
      <c r="M855" s="254" t="str">
        <f t="shared" si="143"/>
        <v>-</v>
      </c>
      <c r="N855" s="255"/>
    </row>
    <row r="856" spans="1:14" s="256" customFormat="1" hidden="1" outlineLevel="2">
      <c r="A856" s="178"/>
      <c r="B856" s="257" t="s">
        <v>212</v>
      </c>
      <c r="C856" s="253" t="s">
        <v>174</v>
      </c>
      <c r="D856" s="173">
        <v>-2</v>
      </c>
      <c r="E856" s="252">
        <v>0.8</v>
      </c>
      <c r="F856" s="252">
        <v>2.2000000000000002</v>
      </c>
      <c r="G856" s="254" t="str">
        <f t="shared" si="143"/>
        <v>-</v>
      </c>
      <c r="H856" s="254" t="str">
        <f t="shared" si="143"/>
        <v>-</v>
      </c>
      <c r="I856" s="254" t="str">
        <f t="shared" si="143"/>
        <v>-</v>
      </c>
      <c r="J856" s="254" t="str">
        <f t="shared" si="143"/>
        <v>-</v>
      </c>
      <c r="K856" s="254" t="str">
        <f t="shared" si="143"/>
        <v>-</v>
      </c>
      <c r="L856" s="254" t="str">
        <f t="shared" si="143"/>
        <v>-</v>
      </c>
      <c r="M856" s="254" t="str">
        <f t="shared" si="143"/>
        <v>-</v>
      </c>
      <c r="N856" s="255"/>
    </row>
    <row r="857" spans="1:14" s="256" customFormat="1" hidden="1" outlineLevel="2">
      <c r="A857" s="178"/>
      <c r="B857" s="257" t="s">
        <v>199</v>
      </c>
      <c r="C857" s="253" t="s">
        <v>174</v>
      </c>
      <c r="D857" s="173">
        <v>-2</v>
      </c>
      <c r="E857" s="252">
        <v>1.6</v>
      </c>
      <c r="F857" s="252">
        <v>1.7</v>
      </c>
      <c r="G857" s="254" t="str">
        <f t="shared" si="143"/>
        <v>-</v>
      </c>
      <c r="H857" s="254" t="str">
        <f t="shared" si="143"/>
        <v>-</v>
      </c>
      <c r="I857" s="254" t="str">
        <f t="shared" si="143"/>
        <v>-</v>
      </c>
      <c r="J857" s="254" t="str">
        <f t="shared" si="143"/>
        <v>-</v>
      </c>
      <c r="K857" s="254" t="str">
        <f t="shared" si="143"/>
        <v>-</v>
      </c>
      <c r="L857" s="254" t="str">
        <f t="shared" si="143"/>
        <v>-</v>
      </c>
      <c r="M857" s="254" t="str">
        <f t="shared" si="143"/>
        <v>-</v>
      </c>
      <c r="N857" s="255"/>
    </row>
    <row r="858" spans="1:14" s="256" customFormat="1" hidden="1" outlineLevel="2">
      <c r="A858" s="178"/>
      <c r="B858" s="257" t="s">
        <v>200</v>
      </c>
      <c r="C858" s="253" t="s">
        <v>174</v>
      </c>
      <c r="D858" s="173">
        <v>-4</v>
      </c>
      <c r="E858" s="252">
        <v>0.85</v>
      </c>
      <c r="F858" s="252">
        <v>0.55000000000000004</v>
      </c>
      <c r="G858" s="254" t="str">
        <f t="shared" si="143"/>
        <v>-</v>
      </c>
      <c r="H858" s="254" t="str">
        <f t="shared" si="143"/>
        <v>-</v>
      </c>
      <c r="I858" s="254" t="str">
        <f t="shared" si="143"/>
        <v>-</v>
      </c>
      <c r="J858" s="254" t="str">
        <f t="shared" si="143"/>
        <v>-</v>
      </c>
      <c r="K858" s="254" t="str">
        <f t="shared" si="143"/>
        <v>-</v>
      </c>
      <c r="L858" s="254" t="str">
        <f t="shared" si="143"/>
        <v>-</v>
      </c>
      <c r="M858" s="254" t="str">
        <f t="shared" si="143"/>
        <v>-</v>
      </c>
      <c r="N858" s="255"/>
    </row>
    <row r="859" spans="1:14" s="256" customFormat="1" hidden="1" outlineLevel="2">
      <c r="A859" s="178"/>
      <c r="B859" s="258" t="s">
        <v>201</v>
      </c>
      <c r="C859" s="253" t="s">
        <v>174</v>
      </c>
      <c r="D859" s="173">
        <v>1</v>
      </c>
      <c r="E859" s="252">
        <f>2.1+1.8</f>
        <v>3.9000000000000004</v>
      </c>
      <c r="F859" s="252">
        <v>0.25</v>
      </c>
      <c r="G859" s="254" t="str">
        <f t="shared" si="143"/>
        <v>-</v>
      </c>
      <c r="H859" s="254" t="str">
        <f t="shared" si="143"/>
        <v>-</v>
      </c>
      <c r="I859" s="254" t="str">
        <f t="shared" si="143"/>
        <v>-</v>
      </c>
      <c r="J859" s="254" t="str">
        <f t="shared" si="143"/>
        <v>-</v>
      </c>
      <c r="K859" s="254" t="str">
        <f t="shared" si="143"/>
        <v>-</v>
      </c>
      <c r="L859" s="254" t="str">
        <f t="shared" si="143"/>
        <v>-</v>
      </c>
      <c r="M859" s="254" t="str">
        <f t="shared" si="143"/>
        <v>-</v>
      </c>
      <c r="N859" s="255"/>
    </row>
    <row r="860" spans="1:14" s="256" customFormat="1" hidden="1" outlineLevel="2">
      <c r="A860" s="178"/>
      <c r="B860" s="252" t="s">
        <v>202</v>
      </c>
      <c r="C860" s="253" t="s">
        <v>176</v>
      </c>
      <c r="D860" s="173">
        <v>1</v>
      </c>
      <c r="E860" s="252">
        <v>2.1</v>
      </c>
      <c r="F860" s="252">
        <v>0.9</v>
      </c>
      <c r="G860" s="254" t="str">
        <f t="shared" si="143"/>
        <v>-</v>
      </c>
      <c r="H860" s="254" t="str">
        <f t="shared" si="143"/>
        <v>-</v>
      </c>
      <c r="I860" s="254" t="str">
        <f t="shared" si="143"/>
        <v>-</v>
      </c>
      <c r="J860" s="254" t="str">
        <f t="shared" si="143"/>
        <v>-</v>
      </c>
      <c r="K860" s="254" t="str">
        <f t="shared" si="143"/>
        <v>-</v>
      </c>
      <c r="L860" s="254" t="str">
        <f t="shared" si="143"/>
        <v>-</v>
      </c>
      <c r="M860" s="254" t="str">
        <f t="shared" si="143"/>
        <v>-</v>
      </c>
      <c r="N860" s="255"/>
    </row>
    <row r="861" spans="1:14" s="256" customFormat="1" hidden="1" outlineLevel="2">
      <c r="A861" s="178"/>
      <c r="B861" s="252" t="s">
        <v>202</v>
      </c>
      <c r="C861" s="253" t="s">
        <v>176</v>
      </c>
      <c r="D861" s="173">
        <v>1</v>
      </c>
      <c r="E861" s="252">
        <v>1.8</v>
      </c>
      <c r="F861" s="252">
        <v>0.9</v>
      </c>
      <c r="G861" s="254" t="str">
        <f t="shared" si="143"/>
        <v>-</v>
      </c>
      <c r="H861" s="254" t="str">
        <f t="shared" si="143"/>
        <v>-</v>
      </c>
      <c r="I861" s="254" t="str">
        <f t="shared" si="143"/>
        <v>-</v>
      </c>
      <c r="J861" s="254" t="str">
        <f t="shared" si="143"/>
        <v>-</v>
      </c>
      <c r="K861" s="254" t="str">
        <f t="shared" si="143"/>
        <v>-</v>
      </c>
      <c r="L861" s="254" t="str">
        <f t="shared" si="143"/>
        <v>-</v>
      </c>
      <c r="M861" s="254" t="str">
        <f t="shared" si="143"/>
        <v>-</v>
      </c>
      <c r="N861" s="255"/>
    </row>
    <row r="862" spans="1:14" s="256" customFormat="1" hidden="1" outlineLevel="2">
      <c r="A862" s="178"/>
      <c r="B862" s="257" t="s">
        <v>203</v>
      </c>
      <c r="C862" s="253" t="s">
        <v>176</v>
      </c>
      <c r="D862" s="173">
        <v>-2</v>
      </c>
      <c r="E862" s="252">
        <v>1.65</v>
      </c>
      <c r="F862" s="252">
        <v>0.7</v>
      </c>
      <c r="G862" s="254" t="str">
        <f t="shared" si="143"/>
        <v>-</v>
      </c>
      <c r="H862" s="254" t="str">
        <f t="shared" si="143"/>
        <v>-</v>
      </c>
      <c r="I862" s="254" t="str">
        <f t="shared" si="143"/>
        <v>-</v>
      </c>
      <c r="J862" s="254" t="str">
        <f t="shared" si="143"/>
        <v>-</v>
      </c>
      <c r="K862" s="254" t="str">
        <f t="shared" si="143"/>
        <v>-</v>
      </c>
      <c r="L862" s="254" t="str">
        <f t="shared" si="143"/>
        <v>-</v>
      </c>
      <c r="M862" s="254" t="str">
        <f t="shared" si="143"/>
        <v>-</v>
      </c>
      <c r="N862" s="255"/>
    </row>
    <row r="863" spans="1:14" s="256" customFormat="1" hidden="1" outlineLevel="2">
      <c r="A863" s="259"/>
      <c r="B863" s="252"/>
      <c r="C863" s="253"/>
      <c r="D863" s="173"/>
      <c r="E863" s="252"/>
      <c r="F863" s="252"/>
      <c r="G863" s="254" t="str">
        <f t="shared" si="143"/>
        <v>-</v>
      </c>
      <c r="H863" s="254" t="str">
        <f t="shared" si="143"/>
        <v>-</v>
      </c>
      <c r="I863" s="254" t="str">
        <f t="shared" si="143"/>
        <v>-</v>
      </c>
      <c r="J863" s="254" t="str">
        <f t="shared" si="143"/>
        <v>-</v>
      </c>
      <c r="K863" s="254" t="str">
        <f t="shared" si="143"/>
        <v>-</v>
      </c>
      <c r="L863" s="254" t="str">
        <f t="shared" si="143"/>
        <v>-</v>
      </c>
      <c r="M863" s="254" t="str">
        <f t="shared" si="143"/>
        <v>-</v>
      </c>
      <c r="N863" s="255"/>
    </row>
    <row r="864" spans="1:14" s="236" customFormat="1" ht="15" hidden="1" outlineLevel="1">
      <c r="A864" s="260"/>
      <c r="B864" s="261" t="s">
        <v>216</v>
      </c>
      <c r="C864" s="260"/>
      <c r="D864" s="262">
        <v>1</v>
      </c>
      <c r="E864" s="263"/>
      <c r="F864" s="263"/>
      <c r="G864" s="264">
        <f>SUM(G813,G832,G844)</f>
        <v>83.199999999999989</v>
      </c>
      <c r="H864" s="264">
        <f t="shared" ref="H864:M864" si="144">SUM(H813,H832,H844)</f>
        <v>27.2</v>
      </c>
      <c r="I864" s="264">
        <f t="shared" si="144"/>
        <v>15.959999999999997</v>
      </c>
      <c r="J864" s="264">
        <f t="shared" si="144"/>
        <v>1.08</v>
      </c>
      <c r="K864" s="264">
        <f t="shared" si="144"/>
        <v>0</v>
      </c>
      <c r="L864" s="264">
        <f t="shared" si="144"/>
        <v>0</v>
      </c>
      <c r="M864" s="264">
        <f t="shared" si="144"/>
        <v>0</v>
      </c>
      <c r="N864" s="265" t="s">
        <v>298</v>
      </c>
    </row>
    <row r="865" spans="1:14" s="251" customFormat="1" ht="15" hidden="1" outlineLevel="1" collapsed="1">
      <c r="A865" s="245"/>
      <c r="B865" s="246" t="s">
        <v>219</v>
      </c>
      <c r="C865" s="245"/>
      <c r="D865" s="247">
        <v>1</v>
      </c>
      <c r="E865" s="248"/>
      <c r="F865" s="248"/>
      <c r="G865" s="249">
        <f t="shared" ref="G865:M865" si="145">SUBTOTAL(9,G866:G883)</f>
        <v>20.9</v>
      </c>
      <c r="H865" s="249">
        <f t="shared" si="145"/>
        <v>5</v>
      </c>
      <c r="I865" s="249">
        <f t="shared" si="145"/>
        <v>4.34</v>
      </c>
      <c r="J865" s="249">
        <f t="shared" si="145"/>
        <v>0.36</v>
      </c>
      <c r="K865" s="249">
        <f t="shared" si="145"/>
        <v>0</v>
      </c>
      <c r="L865" s="249">
        <f t="shared" si="145"/>
        <v>0</v>
      </c>
      <c r="M865" s="249">
        <f t="shared" si="145"/>
        <v>0</v>
      </c>
      <c r="N865" s="250"/>
    </row>
    <row r="866" spans="1:14" s="256" customFormat="1" hidden="1" outlineLevel="2">
      <c r="A866" s="178"/>
      <c r="B866" s="252" t="s">
        <v>189</v>
      </c>
      <c r="C866" s="253" t="s">
        <v>169</v>
      </c>
      <c r="D866" s="173">
        <v>1</v>
      </c>
      <c r="E866" s="252">
        <v>20.9</v>
      </c>
      <c r="F866" s="252"/>
      <c r="G866" s="254">
        <f t="shared" ref="G866:M890" si="146">IF($C866=G$5,PRODUCT($D866:$F866),"-")</f>
        <v>20.9</v>
      </c>
      <c r="H866" s="254" t="str">
        <f t="shared" si="146"/>
        <v>-</v>
      </c>
      <c r="I866" s="254" t="str">
        <f t="shared" si="146"/>
        <v>-</v>
      </c>
      <c r="J866" s="254" t="str">
        <f t="shared" si="146"/>
        <v>-</v>
      </c>
      <c r="K866" s="254" t="str">
        <f t="shared" si="146"/>
        <v>-</v>
      </c>
      <c r="L866" s="254" t="str">
        <f t="shared" si="146"/>
        <v>-</v>
      </c>
      <c r="M866" s="254" t="str">
        <f t="shared" si="146"/>
        <v>-</v>
      </c>
      <c r="N866" s="255"/>
    </row>
    <row r="867" spans="1:14" s="256" customFormat="1" hidden="1" outlineLevel="2">
      <c r="A867" s="178"/>
      <c r="B867" s="252" t="s">
        <v>190</v>
      </c>
      <c r="C867" s="253" t="s">
        <v>170</v>
      </c>
      <c r="D867" s="173">
        <v>1</v>
      </c>
      <c r="E867" s="252">
        <v>19.5</v>
      </c>
      <c r="F867" s="252"/>
      <c r="G867" s="254" t="str">
        <f t="shared" si="146"/>
        <v>-</v>
      </c>
      <c r="H867" s="254" t="str">
        <f t="shared" si="146"/>
        <v>-</v>
      </c>
      <c r="I867" s="254" t="str">
        <f t="shared" si="146"/>
        <v>-</v>
      </c>
      <c r="J867" s="254" t="str">
        <f t="shared" si="146"/>
        <v>-</v>
      </c>
      <c r="K867" s="254" t="str">
        <f t="shared" si="146"/>
        <v>-</v>
      </c>
      <c r="L867" s="254" t="str">
        <f t="shared" si="146"/>
        <v>-</v>
      </c>
      <c r="M867" s="254" t="str">
        <f t="shared" si="146"/>
        <v>-</v>
      </c>
      <c r="N867" s="255"/>
    </row>
    <row r="868" spans="1:14" s="256" customFormat="1" hidden="1" outlineLevel="2">
      <c r="A868" s="178"/>
      <c r="B868" s="257" t="s">
        <v>191</v>
      </c>
      <c r="C868" s="253" t="s">
        <v>170</v>
      </c>
      <c r="D868" s="173">
        <v>-1</v>
      </c>
      <c r="E868" s="252">
        <v>1.2</v>
      </c>
      <c r="F868" s="252"/>
      <c r="G868" s="254" t="str">
        <f t="shared" si="146"/>
        <v>-</v>
      </c>
      <c r="H868" s="254" t="str">
        <f t="shared" si="146"/>
        <v>-</v>
      </c>
      <c r="I868" s="254" t="str">
        <f t="shared" si="146"/>
        <v>-</v>
      </c>
      <c r="J868" s="254" t="str">
        <f t="shared" si="146"/>
        <v>-</v>
      </c>
      <c r="K868" s="254" t="str">
        <f t="shared" si="146"/>
        <v>-</v>
      </c>
      <c r="L868" s="254" t="str">
        <f t="shared" si="146"/>
        <v>-</v>
      </c>
      <c r="M868" s="254" t="str">
        <f t="shared" si="146"/>
        <v>-</v>
      </c>
      <c r="N868" s="255"/>
    </row>
    <row r="869" spans="1:14" s="256" customFormat="1" hidden="1" outlineLevel="2">
      <c r="A869" s="178"/>
      <c r="B869" s="257" t="s">
        <v>192</v>
      </c>
      <c r="C869" s="253" t="s">
        <v>170</v>
      </c>
      <c r="D869" s="173">
        <v>-1</v>
      </c>
      <c r="E869" s="252">
        <v>3.2</v>
      </c>
      <c r="F869" s="252"/>
      <c r="G869" s="254" t="str">
        <f t="shared" si="146"/>
        <v>-</v>
      </c>
      <c r="H869" s="254" t="str">
        <f t="shared" si="146"/>
        <v>-</v>
      </c>
      <c r="I869" s="254" t="str">
        <f t="shared" si="146"/>
        <v>-</v>
      </c>
      <c r="J869" s="254" t="str">
        <f t="shared" si="146"/>
        <v>-</v>
      </c>
      <c r="K869" s="254" t="str">
        <f t="shared" si="146"/>
        <v>-</v>
      </c>
      <c r="L869" s="254" t="str">
        <f t="shared" si="146"/>
        <v>-</v>
      </c>
      <c r="M869" s="254" t="str">
        <f t="shared" si="146"/>
        <v>-</v>
      </c>
      <c r="N869" s="255"/>
    </row>
    <row r="870" spans="1:14" s="256" customFormat="1" hidden="1" outlineLevel="2">
      <c r="A870" s="178"/>
      <c r="B870" s="252" t="s">
        <v>193</v>
      </c>
      <c r="C870" s="253" t="s">
        <v>171</v>
      </c>
      <c r="D870" s="173">
        <v>1</v>
      </c>
      <c r="E870" s="252">
        <v>5</v>
      </c>
      <c r="F870" s="252"/>
      <c r="G870" s="254" t="str">
        <f t="shared" si="146"/>
        <v>-</v>
      </c>
      <c r="H870" s="254">
        <f t="shared" si="146"/>
        <v>5</v>
      </c>
      <c r="I870" s="254" t="str">
        <f t="shared" si="146"/>
        <v>-</v>
      </c>
      <c r="J870" s="254" t="str">
        <f t="shared" si="146"/>
        <v>-</v>
      </c>
      <c r="K870" s="254" t="str">
        <f t="shared" si="146"/>
        <v>-</v>
      </c>
      <c r="L870" s="254" t="str">
        <f t="shared" si="146"/>
        <v>-</v>
      </c>
      <c r="M870" s="254" t="str">
        <f t="shared" si="146"/>
        <v>-</v>
      </c>
      <c r="N870" s="255"/>
    </row>
    <row r="871" spans="1:14" s="256" customFormat="1" hidden="1" outlineLevel="2">
      <c r="A871" s="178"/>
      <c r="B871" s="252" t="s">
        <v>194</v>
      </c>
      <c r="C871" s="253" t="s">
        <v>172</v>
      </c>
      <c r="D871" s="173">
        <v>1</v>
      </c>
      <c r="E871" s="252">
        <v>11</v>
      </c>
      <c r="F871" s="252"/>
      <c r="G871" s="254" t="str">
        <f t="shared" si="146"/>
        <v>-</v>
      </c>
      <c r="H871" s="254" t="str">
        <f t="shared" si="146"/>
        <v>-</v>
      </c>
      <c r="I871" s="254" t="str">
        <f t="shared" si="146"/>
        <v>-</v>
      </c>
      <c r="J871" s="254" t="str">
        <f t="shared" si="146"/>
        <v>-</v>
      </c>
      <c r="K871" s="254" t="str">
        <f t="shared" si="146"/>
        <v>-</v>
      </c>
      <c r="L871" s="254" t="str">
        <f t="shared" si="146"/>
        <v>-</v>
      </c>
      <c r="M871" s="254" t="str">
        <f t="shared" si="146"/>
        <v>-</v>
      </c>
      <c r="N871" s="255"/>
    </row>
    <row r="872" spans="1:14" s="256" customFormat="1" hidden="1" outlineLevel="2">
      <c r="A872" s="178"/>
      <c r="B872" s="257" t="s">
        <v>191</v>
      </c>
      <c r="C872" s="253" t="s">
        <v>172</v>
      </c>
      <c r="D872" s="173">
        <v>-1</v>
      </c>
      <c r="E872" s="252">
        <f>0.2+0.8*2</f>
        <v>1.8</v>
      </c>
      <c r="F872" s="252"/>
      <c r="G872" s="254" t="str">
        <f t="shared" si="146"/>
        <v>-</v>
      </c>
      <c r="H872" s="254" t="str">
        <f t="shared" si="146"/>
        <v>-</v>
      </c>
      <c r="I872" s="254" t="str">
        <f t="shared" si="146"/>
        <v>-</v>
      </c>
      <c r="J872" s="254" t="str">
        <f t="shared" si="146"/>
        <v>-</v>
      </c>
      <c r="K872" s="254" t="str">
        <f t="shared" si="146"/>
        <v>-</v>
      </c>
      <c r="L872" s="254" t="str">
        <f t="shared" si="146"/>
        <v>-</v>
      </c>
      <c r="M872" s="254" t="str">
        <f t="shared" si="146"/>
        <v>-</v>
      </c>
      <c r="N872" s="255"/>
    </row>
    <row r="873" spans="1:14" s="256" customFormat="1" hidden="1" outlineLevel="2">
      <c r="A873" s="178"/>
      <c r="B873" s="257" t="s">
        <v>195</v>
      </c>
      <c r="C873" s="253" t="s">
        <v>172</v>
      </c>
      <c r="D873" s="173">
        <v>-1</v>
      </c>
      <c r="E873" s="252">
        <v>2.5</v>
      </c>
      <c r="F873" s="252"/>
      <c r="G873" s="254" t="str">
        <f t="shared" si="146"/>
        <v>-</v>
      </c>
      <c r="H873" s="254" t="str">
        <f t="shared" si="146"/>
        <v>-</v>
      </c>
      <c r="I873" s="254" t="str">
        <f t="shared" si="146"/>
        <v>-</v>
      </c>
      <c r="J873" s="254" t="str">
        <f t="shared" si="146"/>
        <v>-</v>
      </c>
      <c r="K873" s="254" t="str">
        <f t="shared" si="146"/>
        <v>-</v>
      </c>
      <c r="L873" s="254" t="str">
        <f t="shared" si="146"/>
        <v>-</v>
      </c>
      <c r="M873" s="254" t="str">
        <f t="shared" si="146"/>
        <v>-</v>
      </c>
      <c r="N873" s="255"/>
    </row>
    <row r="874" spans="1:14" s="256" customFormat="1" hidden="1" outlineLevel="2">
      <c r="A874" s="178"/>
      <c r="B874" s="252" t="s">
        <v>196</v>
      </c>
      <c r="C874" s="253" t="s">
        <v>173</v>
      </c>
      <c r="D874" s="173">
        <v>1</v>
      </c>
      <c r="E874" s="252">
        <f>4.7-0.18*2</f>
        <v>4.34</v>
      </c>
      <c r="F874" s="252"/>
      <c r="G874" s="254" t="str">
        <f t="shared" si="146"/>
        <v>-</v>
      </c>
      <c r="H874" s="254" t="str">
        <f t="shared" si="146"/>
        <v>-</v>
      </c>
      <c r="I874" s="254">
        <f t="shared" si="146"/>
        <v>4.34</v>
      </c>
      <c r="J874" s="254" t="str">
        <f t="shared" si="146"/>
        <v>-</v>
      </c>
      <c r="K874" s="254" t="str">
        <f t="shared" si="146"/>
        <v>-</v>
      </c>
      <c r="L874" s="254" t="str">
        <f t="shared" si="146"/>
        <v>-</v>
      </c>
      <c r="M874" s="254" t="str">
        <f t="shared" si="146"/>
        <v>-</v>
      </c>
      <c r="N874" s="255"/>
    </row>
    <row r="875" spans="1:14" s="256" customFormat="1" hidden="1" outlineLevel="2">
      <c r="A875" s="178"/>
      <c r="B875" s="252" t="s">
        <v>197</v>
      </c>
      <c r="C875" s="253" t="s">
        <v>175</v>
      </c>
      <c r="D875" s="173">
        <v>1</v>
      </c>
      <c r="E875" s="252">
        <f>0.3*0.6*2</f>
        <v>0.36</v>
      </c>
      <c r="F875" s="252"/>
      <c r="G875" s="254" t="str">
        <f t="shared" si="146"/>
        <v>-</v>
      </c>
      <c r="H875" s="254" t="str">
        <f t="shared" si="146"/>
        <v>-</v>
      </c>
      <c r="I875" s="254" t="str">
        <f t="shared" si="146"/>
        <v>-</v>
      </c>
      <c r="J875" s="254">
        <f t="shared" si="146"/>
        <v>0.36</v>
      </c>
      <c r="K875" s="254" t="str">
        <f t="shared" si="146"/>
        <v>-</v>
      </c>
      <c r="L875" s="254" t="str">
        <f t="shared" si="146"/>
        <v>-</v>
      </c>
      <c r="M875" s="254" t="str">
        <f t="shared" si="146"/>
        <v>-</v>
      </c>
      <c r="N875" s="255"/>
    </row>
    <row r="876" spans="1:14" s="256" customFormat="1" hidden="1" outlineLevel="2">
      <c r="A876" s="178"/>
      <c r="B876" s="252" t="s">
        <v>198</v>
      </c>
      <c r="C876" s="253" t="s">
        <v>174</v>
      </c>
      <c r="D876" s="173">
        <v>1</v>
      </c>
      <c r="E876" s="252">
        <v>12.4</v>
      </c>
      <c r="F876" s="252">
        <v>2.2999999999999998</v>
      </c>
      <c r="G876" s="254" t="str">
        <f t="shared" si="146"/>
        <v>-</v>
      </c>
      <c r="H876" s="254" t="str">
        <f t="shared" si="146"/>
        <v>-</v>
      </c>
      <c r="I876" s="254" t="str">
        <f t="shared" si="146"/>
        <v>-</v>
      </c>
      <c r="J876" s="254" t="str">
        <f t="shared" si="146"/>
        <v>-</v>
      </c>
      <c r="K876" s="254" t="str">
        <f t="shared" si="146"/>
        <v>-</v>
      </c>
      <c r="L876" s="254" t="str">
        <f t="shared" si="146"/>
        <v>-</v>
      </c>
      <c r="M876" s="254" t="str">
        <f t="shared" si="146"/>
        <v>-</v>
      </c>
      <c r="N876" s="255"/>
    </row>
    <row r="877" spans="1:14" s="256" customFormat="1" hidden="1" outlineLevel="2">
      <c r="A877" s="178"/>
      <c r="B877" s="257" t="s">
        <v>212</v>
      </c>
      <c r="C877" s="253" t="s">
        <v>174</v>
      </c>
      <c r="D877" s="173">
        <v>-1</v>
      </c>
      <c r="E877" s="252">
        <v>0.8</v>
      </c>
      <c r="F877" s="252">
        <v>2.2200000000000002</v>
      </c>
      <c r="G877" s="254" t="str">
        <f t="shared" si="146"/>
        <v>-</v>
      </c>
      <c r="H877" s="254" t="str">
        <f t="shared" si="146"/>
        <v>-</v>
      </c>
      <c r="I877" s="254" t="str">
        <f t="shared" si="146"/>
        <v>-</v>
      </c>
      <c r="J877" s="254" t="str">
        <f t="shared" si="146"/>
        <v>-</v>
      </c>
      <c r="K877" s="254" t="str">
        <f t="shared" si="146"/>
        <v>-</v>
      </c>
      <c r="L877" s="254" t="str">
        <f t="shared" si="146"/>
        <v>-</v>
      </c>
      <c r="M877" s="254" t="str">
        <f t="shared" si="146"/>
        <v>-</v>
      </c>
      <c r="N877" s="255"/>
    </row>
    <row r="878" spans="1:14" s="256" customFormat="1" hidden="1" outlineLevel="2">
      <c r="A878" s="178"/>
      <c r="B878" s="257" t="s">
        <v>199</v>
      </c>
      <c r="C878" s="253" t="s">
        <v>174</v>
      </c>
      <c r="D878" s="173">
        <v>-1</v>
      </c>
      <c r="E878" s="252">
        <v>1.8</v>
      </c>
      <c r="F878" s="252">
        <v>1.75</v>
      </c>
      <c r="G878" s="254" t="str">
        <f t="shared" si="146"/>
        <v>-</v>
      </c>
      <c r="H878" s="254" t="str">
        <f t="shared" si="146"/>
        <v>-</v>
      </c>
      <c r="I878" s="254" t="str">
        <f t="shared" si="146"/>
        <v>-</v>
      </c>
      <c r="J878" s="254" t="str">
        <f t="shared" si="146"/>
        <v>-</v>
      </c>
      <c r="K878" s="254" t="str">
        <f t="shared" si="146"/>
        <v>-</v>
      </c>
      <c r="L878" s="254" t="str">
        <f t="shared" si="146"/>
        <v>-</v>
      </c>
      <c r="M878" s="254" t="str">
        <f t="shared" si="146"/>
        <v>-</v>
      </c>
      <c r="N878" s="255"/>
    </row>
    <row r="879" spans="1:14" s="256" customFormat="1" hidden="1" outlineLevel="2">
      <c r="A879" s="178"/>
      <c r="B879" s="257" t="s">
        <v>200</v>
      </c>
      <c r="C879" s="253" t="s">
        <v>174</v>
      </c>
      <c r="D879" s="173">
        <v>-2</v>
      </c>
      <c r="E879" s="252">
        <v>0.85</v>
      </c>
      <c r="F879" s="252">
        <v>0.55000000000000004</v>
      </c>
      <c r="G879" s="254" t="str">
        <f t="shared" si="146"/>
        <v>-</v>
      </c>
      <c r="H879" s="254" t="str">
        <f t="shared" si="146"/>
        <v>-</v>
      </c>
      <c r="I879" s="254" t="str">
        <f t="shared" si="146"/>
        <v>-</v>
      </c>
      <c r="J879" s="254" t="str">
        <f t="shared" si="146"/>
        <v>-</v>
      </c>
      <c r="K879" s="254" t="str">
        <f t="shared" si="146"/>
        <v>-</v>
      </c>
      <c r="L879" s="254" t="str">
        <f t="shared" si="146"/>
        <v>-</v>
      </c>
      <c r="M879" s="254" t="str">
        <f t="shared" si="146"/>
        <v>-</v>
      </c>
      <c r="N879" s="255"/>
    </row>
    <row r="880" spans="1:14" s="256" customFormat="1" hidden="1" outlineLevel="2">
      <c r="A880" s="178"/>
      <c r="B880" s="258" t="s">
        <v>201</v>
      </c>
      <c r="C880" s="253" t="s">
        <v>174</v>
      </c>
      <c r="D880" s="173">
        <v>1</v>
      </c>
      <c r="E880" s="252">
        <v>2.15</v>
      </c>
      <c r="F880" s="252">
        <v>0.25</v>
      </c>
      <c r="G880" s="254" t="str">
        <f t="shared" si="146"/>
        <v>-</v>
      </c>
      <c r="H880" s="254" t="str">
        <f t="shared" si="146"/>
        <v>-</v>
      </c>
      <c r="I880" s="254" t="str">
        <f t="shared" si="146"/>
        <v>-</v>
      </c>
      <c r="J880" s="254" t="str">
        <f t="shared" si="146"/>
        <v>-</v>
      </c>
      <c r="K880" s="254" t="str">
        <f t="shared" si="146"/>
        <v>-</v>
      </c>
      <c r="L880" s="254" t="str">
        <f t="shared" si="146"/>
        <v>-</v>
      </c>
      <c r="M880" s="254" t="str">
        <f t="shared" si="146"/>
        <v>-</v>
      </c>
      <c r="N880" s="255"/>
    </row>
    <row r="881" spans="1:14" s="256" customFormat="1" hidden="1" outlineLevel="2">
      <c r="A881" s="178"/>
      <c r="B881" s="252" t="s">
        <v>202</v>
      </c>
      <c r="C881" s="253" t="s">
        <v>176</v>
      </c>
      <c r="D881" s="173">
        <v>1</v>
      </c>
      <c r="E881" s="252">
        <v>2.15</v>
      </c>
      <c r="F881" s="252">
        <v>0.9</v>
      </c>
      <c r="G881" s="254" t="str">
        <f t="shared" si="146"/>
        <v>-</v>
      </c>
      <c r="H881" s="254" t="str">
        <f t="shared" si="146"/>
        <v>-</v>
      </c>
      <c r="I881" s="254" t="str">
        <f t="shared" si="146"/>
        <v>-</v>
      </c>
      <c r="J881" s="254" t="str">
        <f t="shared" si="146"/>
        <v>-</v>
      </c>
      <c r="K881" s="254" t="str">
        <f t="shared" si="146"/>
        <v>-</v>
      </c>
      <c r="L881" s="254" t="str">
        <f t="shared" si="146"/>
        <v>-</v>
      </c>
      <c r="M881" s="254" t="str">
        <f t="shared" si="146"/>
        <v>-</v>
      </c>
      <c r="N881" s="255"/>
    </row>
    <row r="882" spans="1:14" s="256" customFormat="1" hidden="1" outlineLevel="2">
      <c r="A882" s="178"/>
      <c r="B882" s="257" t="s">
        <v>203</v>
      </c>
      <c r="C882" s="253" t="s">
        <v>176</v>
      </c>
      <c r="D882" s="173">
        <v>-1</v>
      </c>
      <c r="E882" s="252">
        <v>1.65</v>
      </c>
      <c r="F882" s="252">
        <v>0.7</v>
      </c>
      <c r="G882" s="254" t="str">
        <f t="shared" si="146"/>
        <v>-</v>
      </c>
      <c r="H882" s="254" t="str">
        <f t="shared" si="146"/>
        <v>-</v>
      </c>
      <c r="I882" s="254" t="str">
        <f t="shared" si="146"/>
        <v>-</v>
      </c>
      <c r="J882" s="254" t="str">
        <f t="shared" si="146"/>
        <v>-</v>
      </c>
      <c r="K882" s="254" t="str">
        <f t="shared" si="146"/>
        <v>-</v>
      </c>
      <c r="L882" s="254" t="str">
        <f t="shared" si="146"/>
        <v>-</v>
      </c>
      <c r="M882" s="254" t="str">
        <f t="shared" si="146"/>
        <v>-</v>
      </c>
      <c r="N882" s="255"/>
    </row>
    <row r="883" spans="1:14" s="256" customFormat="1" hidden="1" outlineLevel="2">
      <c r="A883" s="259"/>
      <c r="B883" s="252"/>
      <c r="C883" s="253"/>
      <c r="D883" s="173"/>
      <c r="E883" s="252"/>
      <c r="F883" s="252"/>
      <c r="G883" s="254" t="str">
        <f t="shared" si="146"/>
        <v>-</v>
      </c>
      <c r="H883" s="254" t="str">
        <f t="shared" si="146"/>
        <v>-</v>
      </c>
      <c r="I883" s="254" t="str">
        <f t="shared" si="146"/>
        <v>-</v>
      </c>
      <c r="J883" s="254" t="str">
        <f t="shared" si="146"/>
        <v>-</v>
      </c>
      <c r="K883" s="254" t="str">
        <f t="shared" si="146"/>
        <v>-</v>
      </c>
      <c r="L883" s="254" t="str">
        <f t="shared" si="146"/>
        <v>-</v>
      </c>
      <c r="M883" s="254" t="str">
        <f t="shared" si="146"/>
        <v>-</v>
      </c>
      <c r="N883" s="255"/>
    </row>
    <row r="884" spans="1:14" s="251" customFormat="1" ht="15" hidden="1" outlineLevel="1" collapsed="1">
      <c r="A884" s="245"/>
      <c r="B884" s="246" t="s">
        <v>220</v>
      </c>
      <c r="C884" s="245"/>
      <c r="D884" s="247">
        <v>1</v>
      </c>
      <c r="E884" s="248"/>
      <c r="F884" s="248"/>
      <c r="G884" s="249">
        <f t="shared" ref="G884:M884" si="147">SUBTOTAL(9,G885:G900)</f>
        <v>23.7</v>
      </c>
      <c r="H884" s="249">
        <f t="shared" si="147"/>
        <v>28.5</v>
      </c>
      <c r="I884" s="249">
        <f t="shared" si="147"/>
        <v>9.5400000000000009</v>
      </c>
      <c r="J884" s="249">
        <f t="shared" si="147"/>
        <v>0.36</v>
      </c>
      <c r="K884" s="249">
        <f t="shared" si="147"/>
        <v>0</v>
      </c>
      <c r="L884" s="249">
        <f t="shared" si="147"/>
        <v>0</v>
      </c>
      <c r="M884" s="249">
        <f t="shared" si="147"/>
        <v>0</v>
      </c>
      <c r="N884" s="250"/>
    </row>
    <row r="885" spans="1:14" s="256" customFormat="1" hidden="1" outlineLevel="2">
      <c r="A885" s="178"/>
      <c r="B885" s="252" t="s">
        <v>189</v>
      </c>
      <c r="C885" s="253" t="s">
        <v>169</v>
      </c>
      <c r="D885" s="173">
        <v>1</v>
      </c>
      <c r="E885" s="252">
        <v>23.7</v>
      </c>
      <c r="F885" s="252"/>
      <c r="G885" s="254">
        <f t="shared" si="146"/>
        <v>23.7</v>
      </c>
      <c r="H885" s="254" t="str">
        <f t="shared" si="146"/>
        <v>-</v>
      </c>
      <c r="I885" s="254" t="str">
        <f t="shared" si="146"/>
        <v>-</v>
      </c>
      <c r="J885" s="254" t="str">
        <f t="shared" si="146"/>
        <v>-</v>
      </c>
      <c r="K885" s="254" t="str">
        <f t="shared" si="146"/>
        <v>-</v>
      </c>
      <c r="L885" s="254" t="str">
        <f t="shared" si="146"/>
        <v>-</v>
      </c>
      <c r="M885" s="254" t="str">
        <f t="shared" si="146"/>
        <v>-</v>
      </c>
      <c r="N885" s="255"/>
    </row>
    <row r="886" spans="1:14" s="256" customFormat="1" hidden="1" outlineLevel="2">
      <c r="A886" s="178"/>
      <c r="B886" s="252" t="s">
        <v>190</v>
      </c>
      <c r="C886" s="253" t="s">
        <v>170</v>
      </c>
      <c r="D886" s="173">
        <v>1</v>
      </c>
      <c r="E886" s="252">
        <v>22</v>
      </c>
      <c r="F886" s="252"/>
      <c r="G886" s="254" t="str">
        <f t="shared" si="146"/>
        <v>-</v>
      </c>
      <c r="H886" s="254" t="str">
        <f t="shared" si="146"/>
        <v>-</v>
      </c>
      <c r="I886" s="254" t="str">
        <f t="shared" si="146"/>
        <v>-</v>
      </c>
      <c r="J886" s="254" t="str">
        <f t="shared" si="146"/>
        <v>-</v>
      </c>
      <c r="K886" s="254" t="str">
        <f t="shared" si="146"/>
        <v>-</v>
      </c>
      <c r="L886" s="254" t="str">
        <f t="shared" si="146"/>
        <v>-</v>
      </c>
      <c r="M886" s="254" t="str">
        <f t="shared" si="146"/>
        <v>-</v>
      </c>
      <c r="N886" s="255"/>
    </row>
    <row r="887" spans="1:14" s="256" customFormat="1" hidden="1" outlineLevel="2">
      <c r="A887" s="178"/>
      <c r="B887" s="257" t="s">
        <v>191</v>
      </c>
      <c r="C887" s="253" t="s">
        <v>170</v>
      </c>
      <c r="D887" s="173">
        <v>-1</v>
      </c>
      <c r="E887" s="252">
        <v>0.8</v>
      </c>
      <c r="F887" s="252"/>
      <c r="G887" s="254" t="str">
        <f t="shared" si="146"/>
        <v>-</v>
      </c>
      <c r="H887" s="254" t="str">
        <f t="shared" si="146"/>
        <v>-</v>
      </c>
      <c r="I887" s="254" t="str">
        <f t="shared" si="146"/>
        <v>-</v>
      </c>
      <c r="J887" s="254" t="str">
        <f t="shared" si="146"/>
        <v>-</v>
      </c>
      <c r="K887" s="254" t="str">
        <f t="shared" si="146"/>
        <v>-</v>
      </c>
      <c r="L887" s="254" t="str">
        <f t="shared" si="146"/>
        <v>-</v>
      </c>
      <c r="M887" s="254" t="str">
        <f t="shared" si="146"/>
        <v>-</v>
      </c>
      <c r="N887" s="255"/>
    </row>
    <row r="888" spans="1:14" s="256" customFormat="1" hidden="1" outlineLevel="2">
      <c r="A888" s="178"/>
      <c r="B888" s="257" t="s">
        <v>192</v>
      </c>
      <c r="C888" s="253" t="s">
        <v>170</v>
      </c>
      <c r="D888" s="173">
        <v>-1</v>
      </c>
      <c r="E888" s="252">
        <v>2.8</v>
      </c>
      <c r="F888" s="252"/>
      <c r="G888" s="254" t="str">
        <f t="shared" si="146"/>
        <v>-</v>
      </c>
      <c r="H888" s="254" t="str">
        <f t="shared" si="146"/>
        <v>-</v>
      </c>
      <c r="I888" s="254" t="str">
        <f t="shared" si="146"/>
        <v>-</v>
      </c>
      <c r="J888" s="254" t="str">
        <f t="shared" si="146"/>
        <v>-</v>
      </c>
      <c r="K888" s="254" t="str">
        <f t="shared" si="146"/>
        <v>-</v>
      </c>
      <c r="L888" s="254" t="str">
        <f t="shared" si="146"/>
        <v>-</v>
      </c>
      <c r="M888" s="254" t="str">
        <f t="shared" si="146"/>
        <v>-</v>
      </c>
      <c r="N888" s="255"/>
    </row>
    <row r="889" spans="1:14" s="256" customFormat="1" hidden="1" outlineLevel="2">
      <c r="A889" s="178"/>
      <c r="B889" s="252" t="s">
        <v>193</v>
      </c>
      <c r="C889" s="253" t="s">
        <v>171</v>
      </c>
      <c r="D889" s="173">
        <v>1</v>
      </c>
      <c r="E889" s="252">
        <v>28.5</v>
      </c>
      <c r="F889" s="252"/>
      <c r="G889" s="254" t="str">
        <f t="shared" si="146"/>
        <v>-</v>
      </c>
      <c r="H889" s="254">
        <f t="shared" si="146"/>
        <v>28.5</v>
      </c>
      <c r="I889" s="254" t="str">
        <f t="shared" si="146"/>
        <v>-</v>
      </c>
      <c r="J889" s="254" t="str">
        <f t="shared" si="146"/>
        <v>-</v>
      </c>
      <c r="K889" s="254" t="str">
        <f t="shared" si="146"/>
        <v>-</v>
      </c>
      <c r="L889" s="254" t="str">
        <f t="shared" si="146"/>
        <v>-</v>
      </c>
      <c r="M889" s="254" t="str">
        <f t="shared" si="146"/>
        <v>-</v>
      </c>
      <c r="N889" s="255"/>
    </row>
    <row r="890" spans="1:14" s="256" customFormat="1" hidden="1" outlineLevel="2">
      <c r="A890" s="178"/>
      <c r="B890" s="252" t="s">
        <v>194</v>
      </c>
      <c r="C890" s="253" t="s">
        <v>172</v>
      </c>
      <c r="D890" s="173">
        <v>1</v>
      </c>
      <c r="E890" s="252">
        <v>26.3</v>
      </c>
      <c r="F890" s="252"/>
      <c r="G890" s="254" t="str">
        <f t="shared" si="146"/>
        <v>-</v>
      </c>
      <c r="H890" s="254" t="str">
        <f t="shared" ref="H890:M890" si="148">IF($C890=H$5,PRODUCT($D890:$F890),"-")</f>
        <v>-</v>
      </c>
      <c r="I890" s="254" t="str">
        <f t="shared" si="148"/>
        <v>-</v>
      </c>
      <c r="J890" s="254" t="str">
        <f t="shared" si="148"/>
        <v>-</v>
      </c>
      <c r="K890" s="254" t="str">
        <f t="shared" si="148"/>
        <v>-</v>
      </c>
      <c r="L890" s="254" t="str">
        <f t="shared" si="148"/>
        <v>-</v>
      </c>
      <c r="M890" s="254" t="str">
        <f t="shared" si="148"/>
        <v>-</v>
      </c>
      <c r="N890" s="255"/>
    </row>
    <row r="891" spans="1:14" s="256" customFormat="1" hidden="1" outlineLevel="2">
      <c r="A891" s="178"/>
      <c r="B891" s="257" t="s">
        <v>191</v>
      </c>
      <c r="C891" s="253" t="s">
        <v>172</v>
      </c>
      <c r="D891" s="173">
        <v>-1</v>
      </c>
      <c r="E891" s="252">
        <f>1.2+0.8*3</f>
        <v>3.6000000000000005</v>
      </c>
      <c r="F891" s="252"/>
      <c r="G891" s="254" t="str">
        <f t="shared" ref="G891:M900" si="149">IF($C891=G$5,PRODUCT($D891:$F891),"-")</f>
        <v>-</v>
      </c>
      <c r="H891" s="254" t="str">
        <f t="shared" si="149"/>
        <v>-</v>
      </c>
      <c r="I891" s="254" t="str">
        <f t="shared" si="149"/>
        <v>-</v>
      </c>
      <c r="J891" s="254" t="str">
        <f t="shared" si="149"/>
        <v>-</v>
      </c>
      <c r="K891" s="254" t="str">
        <f t="shared" si="149"/>
        <v>-</v>
      </c>
      <c r="L891" s="254" t="str">
        <f t="shared" si="149"/>
        <v>-</v>
      </c>
      <c r="M891" s="254" t="str">
        <f t="shared" si="149"/>
        <v>-</v>
      </c>
      <c r="N891" s="255"/>
    </row>
    <row r="892" spans="1:14" s="256" customFormat="1" hidden="1" outlineLevel="2">
      <c r="A892" s="178"/>
      <c r="B892" s="252" t="s">
        <v>196</v>
      </c>
      <c r="C892" s="253" t="s">
        <v>173</v>
      </c>
      <c r="D892" s="173">
        <v>1</v>
      </c>
      <c r="E892" s="252">
        <f>5.4+4.5-0.36</f>
        <v>9.5400000000000009</v>
      </c>
      <c r="F892" s="252"/>
      <c r="G892" s="254" t="str">
        <f t="shared" si="149"/>
        <v>-</v>
      </c>
      <c r="H892" s="254" t="str">
        <f t="shared" si="149"/>
        <v>-</v>
      </c>
      <c r="I892" s="254">
        <f t="shared" si="149"/>
        <v>9.5400000000000009</v>
      </c>
      <c r="J892" s="254" t="str">
        <f t="shared" si="149"/>
        <v>-</v>
      </c>
      <c r="K892" s="254" t="str">
        <f t="shared" si="149"/>
        <v>-</v>
      </c>
      <c r="L892" s="254" t="str">
        <f t="shared" si="149"/>
        <v>-</v>
      </c>
      <c r="M892" s="254" t="str">
        <f t="shared" si="149"/>
        <v>-</v>
      </c>
      <c r="N892" s="255"/>
    </row>
    <row r="893" spans="1:14" s="256" customFormat="1" hidden="1" outlineLevel="2">
      <c r="A893" s="178"/>
      <c r="B893" s="252" t="s">
        <v>197</v>
      </c>
      <c r="C893" s="253" t="s">
        <v>175</v>
      </c>
      <c r="D893" s="173">
        <v>1</v>
      </c>
      <c r="E893" s="252">
        <f>0.3*0.6*2</f>
        <v>0.36</v>
      </c>
      <c r="F893" s="252"/>
      <c r="G893" s="254" t="str">
        <f t="shared" si="149"/>
        <v>-</v>
      </c>
      <c r="H893" s="254" t="str">
        <f t="shared" si="149"/>
        <v>-</v>
      </c>
      <c r="I893" s="254" t="str">
        <f t="shared" si="149"/>
        <v>-</v>
      </c>
      <c r="J893" s="254">
        <f t="shared" si="149"/>
        <v>0.36</v>
      </c>
      <c r="K893" s="254" t="str">
        <f t="shared" si="149"/>
        <v>-</v>
      </c>
      <c r="L893" s="254" t="str">
        <f t="shared" si="149"/>
        <v>-</v>
      </c>
      <c r="M893" s="254" t="str">
        <f t="shared" si="149"/>
        <v>-</v>
      </c>
      <c r="N893" s="255"/>
    </row>
    <row r="894" spans="1:14" s="256" customFormat="1" hidden="1" outlineLevel="2">
      <c r="A894" s="178"/>
      <c r="B894" s="252" t="s">
        <v>198</v>
      </c>
      <c r="C894" s="253" t="s">
        <v>174</v>
      </c>
      <c r="D894" s="173">
        <v>1</v>
      </c>
      <c r="E894" s="252">
        <f>13.5+8.4</f>
        <v>21.9</v>
      </c>
      <c r="F894" s="252">
        <v>2.2999999999999998</v>
      </c>
      <c r="G894" s="254" t="str">
        <f t="shared" si="149"/>
        <v>-</v>
      </c>
      <c r="H894" s="254" t="str">
        <f t="shared" si="149"/>
        <v>-</v>
      </c>
      <c r="I894" s="254" t="str">
        <f t="shared" si="149"/>
        <v>-</v>
      </c>
      <c r="J894" s="254" t="str">
        <f t="shared" si="149"/>
        <v>-</v>
      </c>
      <c r="K894" s="254" t="str">
        <f t="shared" si="149"/>
        <v>-</v>
      </c>
      <c r="L894" s="254" t="str">
        <f t="shared" si="149"/>
        <v>-</v>
      </c>
      <c r="M894" s="254" t="str">
        <f t="shared" si="149"/>
        <v>-</v>
      </c>
      <c r="N894" s="255"/>
    </row>
    <row r="895" spans="1:14" s="256" customFormat="1" hidden="1" outlineLevel="2">
      <c r="A895" s="178"/>
      <c r="B895" s="257" t="s">
        <v>212</v>
      </c>
      <c r="C895" s="253" t="s">
        <v>174</v>
      </c>
      <c r="D895" s="173">
        <v>-2</v>
      </c>
      <c r="E895" s="252">
        <v>0.8</v>
      </c>
      <c r="F895" s="252">
        <v>2.2200000000000002</v>
      </c>
      <c r="G895" s="254" t="str">
        <f t="shared" si="149"/>
        <v>-</v>
      </c>
      <c r="H895" s="254" t="str">
        <f t="shared" si="149"/>
        <v>-</v>
      </c>
      <c r="I895" s="254" t="str">
        <f t="shared" si="149"/>
        <v>-</v>
      </c>
      <c r="J895" s="254" t="str">
        <f t="shared" si="149"/>
        <v>-</v>
      </c>
      <c r="K895" s="254" t="str">
        <f t="shared" si="149"/>
        <v>-</v>
      </c>
      <c r="L895" s="254" t="str">
        <f t="shared" si="149"/>
        <v>-</v>
      </c>
      <c r="M895" s="254" t="str">
        <f t="shared" si="149"/>
        <v>-</v>
      </c>
      <c r="N895" s="255"/>
    </row>
    <row r="896" spans="1:14" s="256" customFormat="1" hidden="1" outlineLevel="2">
      <c r="A896" s="178"/>
      <c r="B896" s="257" t="s">
        <v>199</v>
      </c>
      <c r="C896" s="253" t="s">
        <v>174</v>
      </c>
      <c r="D896" s="173">
        <v>-1</v>
      </c>
      <c r="E896" s="252">
        <f>1.4+0.95</f>
        <v>2.3499999999999996</v>
      </c>
      <c r="F896" s="252">
        <v>1.45</v>
      </c>
      <c r="G896" s="254" t="str">
        <f t="shared" si="149"/>
        <v>-</v>
      </c>
      <c r="H896" s="254" t="str">
        <f t="shared" si="149"/>
        <v>-</v>
      </c>
      <c r="I896" s="254" t="str">
        <f t="shared" si="149"/>
        <v>-</v>
      </c>
      <c r="J896" s="254" t="str">
        <f t="shared" si="149"/>
        <v>-</v>
      </c>
      <c r="K896" s="254" t="str">
        <f t="shared" si="149"/>
        <v>-</v>
      </c>
      <c r="L896" s="254" t="str">
        <f t="shared" si="149"/>
        <v>-</v>
      </c>
      <c r="M896" s="254" t="str">
        <f t="shared" si="149"/>
        <v>-</v>
      </c>
      <c r="N896" s="255"/>
    </row>
    <row r="897" spans="1:14" s="256" customFormat="1" hidden="1" outlineLevel="2">
      <c r="A897" s="178"/>
      <c r="B897" s="258" t="s">
        <v>201</v>
      </c>
      <c r="C897" s="253" t="s">
        <v>174</v>
      </c>
      <c r="D897" s="173">
        <v>1</v>
      </c>
      <c r="E897" s="252">
        <f>E896+0.4</f>
        <v>2.7499999999999996</v>
      </c>
      <c r="F897" s="252">
        <v>0.25</v>
      </c>
      <c r="G897" s="254" t="str">
        <f t="shared" si="149"/>
        <v>-</v>
      </c>
      <c r="H897" s="254" t="str">
        <f t="shared" si="149"/>
        <v>-</v>
      </c>
      <c r="I897" s="254" t="str">
        <f t="shared" si="149"/>
        <v>-</v>
      </c>
      <c r="J897" s="254" t="str">
        <f t="shared" si="149"/>
        <v>-</v>
      </c>
      <c r="K897" s="254" t="str">
        <f t="shared" si="149"/>
        <v>-</v>
      </c>
      <c r="L897" s="254" t="str">
        <f t="shared" si="149"/>
        <v>-</v>
      </c>
      <c r="M897" s="254" t="str">
        <f t="shared" si="149"/>
        <v>-</v>
      </c>
      <c r="N897" s="255"/>
    </row>
    <row r="898" spans="1:14" s="256" customFormat="1" hidden="1" outlineLevel="2">
      <c r="A898" s="178"/>
      <c r="B898" s="252" t="s">
        <v>202</v>
      </c>
      <c r="C898" s="253" t="s">
        <v>176</v>
      </c>
      <c r="D898" s="173">
        <v>1</v>
      </c>
      <c r="E898" s="252">
        <v>2.2000000000000002</v>
      </c>
      <c r="F898" s="252">
        <v>1.6</v>
      </c>
      <c r="G898" s="254" t="str">
        <f t="shared" si="149"/>
        <v>-</v>
      </c>
      <c r="H898" s="254" t="str">
        <f t="shared" si="149"/>
        <v>-</v>
      </c>
      <c r="I898" s="254" t="str">
        <f t="shared" si="149"/>
        <v>-</v>
      </c>
      <c r="J898" s="254" t="str">
        <f t="shared" si="149"/>
        <v>-</v>
      </c>
      <c r="K898" s="254" t="str">
        <f t="shared" si="149"/>
        <v>-</v>
      </c>
      <c r="L898" s="254" t="str">
        <f t="shared" si="149"/>
        <v>-</v>
      </c>
      <c r="M898" s="254" t="str">
        <f t="shared" si="149"/>
        <v>-</v>
      </c>
      <c r="N898" s="255"/>
    </row>
    <row r="899" spans="1:14" s="256" customFormat="1" hidden="1" outlineLevel="2">
      <c r="A899" s="178"/>
      <c r="B899" s="257" t="s">
        <v>203</v>
      </c>
      <c r="C899" s="253" t="s">
        <v>176</v>
      </c>
      <c r="D899" s="173">
        <v>-1</v>
      </c>
      <c r="E899" s="252">
        <v>1.9</v>
      </c>
      <c r="F899" s="252">
        <v>1.1000000000000001</v>
      </c>
      <c r="G899" s="254" t="str">
        <f t="shared" si="149"/>
        <v>-</v>
      </c>
      <c r="H899" s="254" t="str">
        <f t="shared" si="149"/>
        <v>-</v>
      </c>
      <c r="I899" s="254" t="str">
        <f t="shared" si="149"/>
        <v>-</v>
      </c>
      <c r="J899" s="254" t="str">
        <f t="shared" si="149"/>
        <v>-</v>
      </c>
      <c r="K899" s="254" t="str">
        <f t="shared" si="149"/>
        <v>-</v>
      </c>
      <c r="L899" s="254" t="str">
        <f t="shared" si="149"/>
        <v>-</v>
      </c>
      <c r="M899" s="254" t="str">
        <f t="shared" si="149"/>
        <v>-</v>
      </c>
      <c r="N899" s="255"/>
    </row>
    <row r="900" spans="1:14" s="256" customFormat="1" hidden="1" outlineLevel="2">
      <c r="A900" s="259"/>
      <c r="B900" s="252"/>
      <c r="C900" s="253"/>
      <c r="D900" s="173"/>
      <c r="E900" s="252"/>
      <c r="F900" s="252"/>
      <c r="G900" s="254" t="str">
        <f t="shared" si="149"/>
        <v>-</v>
      </c>
      <c r="H900" s="254" t="str">
        <f t="shared" si="149"/>
        <v>-</v>
      </c>
      <c r="I900" s="254" t="str">
        <f t="shared" si="149"/>
        <v>-</v>
      </c>
      <c r="J900" s="254" t="str">
        <f t="shared" si="149"/>
        <v>-</v>
      </c>
      <c r="K900" s="254" t="str">
        <f t="shared" si="149"/>
        <v>-</v>
      </c>
      <c r="L900" s="254" t="str">
        <f t="shared" si="149"/>
        <v>-</v>
      </c>
      <c r="M900" s="254" t="str">
        <f t="shared" si="149"/>
        <v>-</v>
      </c>
      <c r="N900" s="255"/>
    </row>
    <row r="901" spans="1:14" s="251" customFormat="1" ht="15" hidden="1" outlineLevel="1" collapsed="1">
      <c r="A901" s="245"/>
      <c r="B901" s="246" t="s">
        <v>259</v>
      </c>
      <c r="C901" s="245"/>
      <c r="D901" s="247">
        <v>1</v>
      </c>
      <c r="E901" s="248"/>
      <c r="F901" s="248"/>
      <c r="G901" s="249">
        <f t="shared" ref="G901:M901" si="150">SUBTOTAL(9,G902:G918)</f>
        <v>33.1</v>
      </c>
      <c r="H901" s="249">
        <f t="shared" si="150"/>
        <v>3.4</v>
      </c>
      <c r="I901" s="249">
        <f t="shared" si="150"/>
        <v>3.8400000000000003</v>
      </c>
      <c r="J901" s="249">
        <f t="shared" si="150"/>
        <v>0.72</v>
      </c>
      <c r="K901" s="249">
        <f t="shared" si="150"/>
        <v>0</v>
      </c>
      <c r="L901" s="249">
        <f t="shared" si="150"/>
        <v>0</v>
      </c>
      <c r="M901" s="249">
        <f t="shared" si="150"/>
        <v>0</v>
      </c>
      <c r="N901" s="250"/>
    </row>
    <row r="902" spans="1:14" s="256" customFormat="1" hidden="1" outlineLevel="2">
      <c r="A902" s="178"/>
      <c r="B902" s="252" t="s">
        <v>189</v>
      </c>
      <c r="C902" s="253" t="s">
        <v>169</v>
      </c>
      <c r="D902" s="173">
        <v>1</v>
      </c>
      <c r="E902" s="252">
        <v>33.1</v>
      </c>
      <c r="F902" s="252"/>
      <c r="G902" s="254">
        <f t="shared" ref="G902:M917" si="151">IF($C902=G$5,PRODUCT($D902:$F902),"-")</f>
        <v>33.1</v>
      </c>
      <c r="H902" s="254" t="str">
        <f t="shared" si="151"/>
        <v>-</v>
      </c>
      <c r="I902" s="254" t="str">
        <f t="shared" si="151"/>
        <v>-</v>
      </c>
      <c r="J902" s="254" t="str">
        <f t="shared" si="151"/>
        <v>-</v>
      </c>
      <c r="K902" s="254" t="str">
        <f t="shared" si="151"/>
        <v>-</v>
      </c>
      <c r="L902" s="254" t="str">
        <f t="shared" si="151"/>
        <v>-</v>
      </c>
      <c r="M902" s="254" t="str">
        <f t="shared" si="151"/>
        <v>-</v>
      </c>
      <c r="N902" s="255"/>
    </row>
    <row r="903" spans="1:14" s="256" customFormat="1" hidden="1" outlineLevel="2">
      <c r="A903" s="178"/>
      <c r="B903" s="252" t="s">
        <v>190</v>
      </c>
      <c r="C903" s="253" t="s">
        <v>170</v>
      </c>
      <c r="D903" s="173">
        <v>1</v>
      </c>
      <c r="E903" s="252">
        <v>25.6</v>
      </c>
      <c r="F903" s="252"/>
      <c r="G903" s="254" t="str">
        <f t="shared" si="151"/>
        <v>-</v>
      </c>
      <c r="H903" s="254" t="str">
        <f t="shared" si="151"/>
        <v>-</v>
      </c>
      <c r="I903" s="254" t="str">
        <f t="shared" si="151"/>
        <v>-</v>
      </c>
      <c r="J903" s="254" t="str">
        <f t="shared" si="151"/>
        <v>-</v>
      </c>
      <c r="K903" s="254" t="str">
        <f t="shared" si="151"/>
        <v>-</v>
      </c>
      <c r="L903" s="254" t="str">
        <f t="shared" si="151"/>
        <v>-</v>
      </c>
      <c r="M903" s="254" t="str">
        <f t="shared" si="151"/>
        <v>-</v>
      </c>
      <c r="N903" s="255"/>
    </row>
    <row r="904" spans="1:14" s="256" customFormat="1" hidden="1" outlineLevel="2">
      <c r="A904" s="178"/>
      <c r="B904" s="257" t="s">
        <v>191</v>
      </c>
      <c r="C904" s="253" t="s">
        <v>170</v>
      </c>
      <c r="D904" s="173">
        <v>-3</v>
      </c>
      <c r="E904" s="252">
        <v>0.9</v>
      </c>
      <c r="F904" s="252"/>
      <c r="G904" s="254" t="str">
        <f t="shared" si="151"/>
        <v>-</v>
      </c>
      <c r="H904" s="254" t="str">
        <f t="shared" si="151"/>
        <v>-</v>
      </c>
      <c r="I904" s="254" t="str">
        <f t="shared" si="151"/>
        <v>-</v>
      </c>
      <c r="J904" s="254" t="str">
        <f t="shared" si="151"/>
        <v>-</v>
      </c>
      <c r="K904" s="254" t="str">
        <f t="shared" si="151"/>
        <v>-</v>
      </c>
      <c r="L904" s="254" t="str">
        <f t="shared" si="151"/>
        <v>-</v>
      </c>
      <c r="M904" s="254" t="str">
        <f t="shared" si="151"/>
        <v>-</v>
      </c>
      <c r="N904" s="255"/>
    </row>
    <row r="905" spans="1:14" s="256" customFormat="1" hidden="1" outlineLevel="2">
      <c r="A905" s="178"/>
      <c r="B905" s="257" t="s">
        <v>192</v>
      </c>
      <c r="C905" s="253" t="s">
        <v>170</v>
      </c>
      <c r="D905" s="173">
        <v>-1</v>
      </c>
      <c r="E905" s="252">
        <v>2.8</v>
      </c>
      <c r="F905" s="252"/>
      <c r="G905" s="254" t="str">
        <f t="shared" si="151"/>
        <v>-</v>
      </c>
      <c r="H905" s="254" t="str">
        <f t="shared" si="151"/>
        <v>-</v>
      </c>
      <c r="I905" s="254" t="str">
        <f t="shared" si="151"/>
        <v>-</v>
      </c>
      <c r="J905" s="254" t="str">
        <f t="shared" si="151"/>
        <v>-</v>
      </c>
      <c r="K905" s="254" t="str">
        <f t="shared" si="151"/>
        <v>-</v>
      </c>
      <c r="L905" s="254" t="str">
        <f t="shared" si="151"/>
        <v>-</v>
      </c>
      <c r="M905" s="254" t="str">
        <f t="shared" si="151"/>
        <v>-</v>
      </c>
      <c r="N905" s="255"/>
    </row>
    <row r="906" spans="1:14" s="256" customFormat="1" hidden="1" outlineLevel="2">
      <c r="A906" s="178"/>
      <c r="B906" s="252" t="s">
        <v>193</v>
      </c>
      <c r="C906" s="253" t="s">
        <v>171</v>
      </c>
      <c r="D906" s="173">
        <v>1</v>
      </c>
      <c r="E906" s="252">
        <v>3.4</v>
      </c>
      <c r="F906" s="252"/>
      <c r="G906" s="254" t="str">
        <f t="shared" si="151"/>
        <v>-</v>
      </c>
      <c r="H906" s="254">
        <f t="shared" si="151"/>
        <v>3.4</v>
      </c>
      <c r="I906" s="254" t="str">
        <f t="shared" si="151"/>
        <v>-</v>
      </c>
      <c r="J906" s="254" t="str">
        <f t="shared" si="151"/>
        <v>-</v>
      </c>
      <c r="K906" s="254" t="str">
        <f t="shared" si="151"/>
        <v>-</v>
      </c>
      <c r="L906" s="254" t="str">
        <f t="shared" si="151"/>
        <v>-</v>
      </c>
      <c r="M906" s="254" t="str">
        <f t="shared" si="151"/>
        <v>-</v>
      </c>
      <c r="N906" s="255"/>
    </row>
    <row r="907" spans="1:14" s="256" customFormat="1" hidden="1" outlineLevel="2">
      <c r="A907" s="178"/>
      <c r="B907" s="252" t="s">
        <v>194</v>
      </c>
      <c r="C907" s="253" t="s">
        <v>172</v>
      </c>
      <c r="D907" s="173">
        <v>1</v>
      </c>
      <c r="E907" s="252">
        <v>8.1</v>
      </c>
      <c r="F907" s="252"/>
      <c r="G907" s="254" t="str">
        <f t="shared" si="151"/>
        <v>-</v>
      </c>
      <c r="H907" s="254" t="str">
        <f t="shared" si="151"/>
        <v>-</v>
      </c>
      <c r="I907" s="254" t="str">
        <f t="shared" si="151"/>
        <v>-</v>
      </c>
      <c r="J907" s="254" t="str">
        <f t="shared" si="151"/>
        <v>-</v>
      </c>
      <c r="K907" s="254" t="str">
        <f t="shared" si="151"/>
        <v>-</v>
      </c>
      <c r="L907" s="254" t="str">
        <f t="shared" si="151"/>
        <v>-</v>
      </c>
      <c r="M907" s="254" t="str">
        <f t="shared" si="151"/>
        <v>-</v>
      </c>
      <c r="N907" s="255"/>
    </row>
    <row r="908" spans="1:14" s="256" customFormat="1" hidden="1" outlineLevel="2">
      <c r="A908" s="178"/>
      <c r="B908" s="257" t="s">
        <v>191</v>
      </c>
      <c r="C908" s="253" t="s">
        <v>172</v>
      </c>
      <c r="D908" s="173">
        <v>-1</v>
      </c>
      <c r="E908" s="252">
        <v>0.9</v>
      </c>
      <c r="F908" s="252"/>
      <c r="G908" s="254" t="str">
        <f t="shared" si="151"/>
        <v>-</v>
      </c>
      <c r="H908" s="254" t="str">
        <f t="shared" si="151"/>
        <v>-</v>
      </c>
      <c r="I908" s="254" t="str">
        <f t="shared" si="151"/>
        <v>-</v>
      </c>
      <c r="J908" s="254" t="str">
        <f t="shared" si="151"/>
        <v>-</v>
      </c>
      <c r="K908" s="254" t="str">
        <f t="shared" si="151"/>
        <v>-</v>
      </c>
      <c r="L908" s="254" t="str">
        <f t="shared" si="151"/>
        <v>-</v>
      </c>
      <c r="M908" s="254" t="str">
        <f t="shared" si="151"/>
        <v>-</v>
      </c>
      <c r="N908" s="255"/>
    </row>
    <row r="909" spans="1:14" s="256" customFormat="1" hidden="1" outlineLevel="2">
      <c r="A909" s="178"/>
      <c r="B909" s="257" t="s">
        <v>195</v>
      </c>
      <c r="C909" s="253" t="s">
        <v>172</v>
      </c>
      <c r="D909" s="173">
        <v>-1</v>
      </c>
      <c r="E909" s="252">
        <v>2.4</v>
      </c>
      <c r="F909" s="252"/>
      <c r="G909" s="254" t="str">
        <f t="shared" si="151"/>
        <v>-</v>
      </c>
      <c r="H909" s="254" t="str">
        <f t="shared" si="151"/>
        <v>-</v>
      </c>
      <c r="I909" s="254" t="str">
        <f t="shared" si="151"/>
        <v>-</v>
      </c>
      <c r="J909" s="254" t="str">
        <f t="shared" si="151"/>
        <v>-</v>
      </c>
      <c r="K909" s="254" t="str">
        <f t="shared" si="151"/>
        <v>-</v>
      </c>
      <c r="L909" s="254" t="str">
        <f t="shared" si="151"/>
        <v>-</v>
      </c>
      <c r="M909" s="254" t="str">
        <f t="shared" si="151"/>
        <v>-</v>
      </c>
      <c r="N909" s="255"/>
    </row>
    <row r="910" spans="1:14" s="256" customFormat="1" hidden="1" outlineLevel="2">
      <c r="A910" s="178"/>
      <c r="B910" s="252" t="s">
        <v>196</v>
      </c>
      <c r="C910" s="253" t="s">
        <v>173</v>
      </c>
      <c r="D910" s="173">
        <v>1</v>
      </c>
      <c r="E910" s="252">
        <f>4.2-E911</f>
        <v>3.8400000000000003</v>
      </c>
      <c r="F910" s="252"/>
      <c r="G910" s="254" t="str">
        <f t="shared" si="151"/>
        <v>-</v>
      </c>
      <c r="H910" s="254" t="str">
        <f t="shared" si="151"/>
        <v>-</v>
      </c>
      <c r="I910" s="254">
        <f t="shared" si="151"/>
        <v>3.8400000000000003</v>
      </c>
      <c r="J910" s="254" t="str">
        <f t="shared" si="151"/>
        <v>-</v>
      </c>
      <c r="K910" s="254" t="str">
        <f t="shared" si="151"/>
        <v>-</v>
      </c>
      <c r="L910" s="254" t="str">
        <f t="shared" si="151"/>
        <v>-</v>
      </c>
      <c r="M910" s="254" t="str">
        <f t="shared" si="151"/>
        <v>-</v>
      </c>
      <c r="N910" s="255"/>
    </row>
    <row r="911" spans="1:14" s="256" customFormat="1" hidden="1" outlineLevel="2">
      <c r="A911" s="178"/>
      <c r="B911" s="252" t="s">
        <v>197</v>
      </c>
      <c r="C911" s="253" t="s">
        <v>175</v>
      </c>
      <c r="D911" s="173">
        <v>2</v>
      </c>
      <c r="E911" s="252">
        <f>0.3*0.6*2</f>
        <v>0.36</v>
      </c>
      <c r="F911" s="252"/>
      <c r="G911" s="254" t="str">
        <f t="shared" si="151"/>
        <v>-</v>
      </c>
      <c r="H911" s="254" t="str">
        <f t="shared" si="151"/>
        <v>-</v>
      </c>
      <c r="I911" s="254" t="str">
        <f t="shared" si="151"/>
        <v>-</v>
      </c>
      <c r="J911" s="254">
        <f t="shared" si="151"/>
        <v>0.72</v>
      </c>
      <c r="K911" s="254" t="str">
        <f t="shared" si="151"/>
        <v>-</v>
      </c>
      <c r="L911" s="254" t="str">
        <f t="shared" si="151"/>
        <v>-</v>
      </c>
      <c r="M911" s="254" t="str">
        <f t="shared" si="151"/>
        <v>-</v>
      </c>
      <c r="N911" s="255"/>
    </row>
    <row r="912" spans="1:14" s="256" customFormat="1" hidden="1" outlineLevel="2">
      <c r="A912" s="178"/>
      <c r="B912" s="252" t="s">
        <v>198</v>
      </c>
      <c r="C912" s="253" t="s">
        <v>174</v>
      </c>
      <c r="D912" s="173">
        <v>1</v>
      </c>
      <c r="E912" s="252">
        <v>12</v>
      </c>
      <c r="F912" s="252">
        <v>2.2999999999999998</v>
      </c>
      <c r="G912" s="254" t="str">
        <f t="shared" si="151"/>
        <v>-</v>
      </c>
      <c r="H912" s="254" t="str">
        <f t="shared" si="151"/>
        <v>-</v>
      </c>
      <c r="I912" s="254" t="str">
        <f t="shared" si="151"/>
        <v>-</v>
      </c>
      <c r="J912" s="254" t="str">
        <f t="shared" si="151"/>
        <v>-</v>
      </c>
      <c r="K912" s="254" t="str">
        <f t="shared" si="151"/>
        <v>-</v>
      </c>
      <c r="L912" s="254" t="str">
        <f t="shared" si="151"/>
        <v>-</v>
      </c>
      <c r="M912" s="254" t="str">
        <f t="shared" si="151"/>
        <v>-</v>
      </c>
      <c r="N912" s="255"/>
    </row>
    <row r="913" spans="1:14" s="256" customFormat="1" hidden="1" outlineLevel="2">
      <c r="A913" s="178"/>
      <c r="B913" s="257" t="s">
        <v>199</v>
      </c>
      <c r="C913" s="253" t="s">
        <v>174</v>
      </c>
      <c r="D913" s="173">
        <v>-1</v>
      </c>
      <c r="E913" s="252">
        <v>1.5</v>
      </c>
      <c r="F913" s="252">
        <v>1.45</v>
      </c>
      <c r="G913" s="254" t="str">
        <f t="shared" si="151"/>
        <v>-</v>
      </c>
      <c r="H913" s="254" t="str">
        <f t="shared" si="151"/>
        <v>-</v>
      </c>
      <c r="I913" s="254" t="str">
        <f t="shared" si="151"/>
        <v>-</v>
      </c>
      <c r="J913" s="254" t="str">
        <f t="shared" si="151"/>
        <v>-</v>
      </c>
      <c r="K913" s="254" t="str">
        <f t="shared" si="151"/>
        <v>-</v>
      </c>
      <c r="L913" s="254" t="str">
        <f t="shared" si="151"/>
        <v>-</v>
      </c>
      <c r="M913" s="254" t="str">
        <f t="shared" si="151"/>
        <v>-</v>
      </c>
      <c r="N913" s="255"/>
    </row>
    <row r="914" spans="1:14" s="256" customFormat="1" hidden="1" outlineLevel="2">
      <c r="A914" s="178"/>
      <c r="B914" s="257" t="s">
        <v>200</v>
      </c>
      <c r="C914" s="253" t="s">
        <v>174</v>
      </c>
      <c r="D914" s="173">
        <v>-1</v>
      </c>
      <c r="E914" s="252">
        <v>0.95</v>
      </c>
      <c r="F914" s="252">
        <v>0.55000000000000004</v>
      </c>
      <c r="G914" s="254" t="str">
        <f t="shared" si="151"/>
        <v>-</v>
      </c>
      <c r="H914" s="254" t="str">
        <f t="shared" si="151"/>
        <v>-</v>
      </c>
      <c r="I914" s="254" t="str">
        <f t="shared" si="151"/>
        <v>-</v>
      </c>
      <c r="J914" s="254" t="str">
        <f t="shared" si="151"/>
        <v>-</v>
      </c>
      <c r="K914" s="254" t="str">
        <f t="shared" si="151"/>
        <v>-</v>
      </c>
      <c r="L914" s="254" t="str">
        <f t="shared" si="151"/>
        <v>-</v>
      </c>
      <c r="M914" s="254" t="str">
        <f t="shared" si="151"/>
        <v>-</v>
      </c>
      <c r="N914" s="255"/>
    </row>
    <row r="915" spans="1:14" s="256" customFormat="1" hidden="1" outlineLevel="2">
      <c r="A915" s="178"/>
      <c r="B915" s="258" t="s">
        <v>201</v>
      </c>
      <c r="C915" s="253" t="s">
        <v>174</v>
      </c>
      <c r="D915" s="173">
        <v>1</v>
      </c>
      <c r="E915" s="252">
        <v>1.9</v>
      </c>
      <c r="F915" s="252">
        <v>0.25</v>
      </c>
      <c r="G915" s="254" t="str">
        <f t="shared" si="151"/>
        <v>-</v>
      </c>
      <c r="H915" s="254" t="str">
        <f t="shared" si="151"/>
        <v>-</v>
      </c>
      <c r="I915" s="254" t="str">
        <f t="shared" si="151"/>
        <v>-</v>
      </c>
      <c r="J915" s="254" t="str">
        <f t="shared" si="151"/>
        <v>-</v>
      </c>
      <c r="K915" s="254" t="str">
        <f t="shared" si="151"/>
        <v>-</v>
      </c>
      <c r="L915" s="254" t="str">
        <f t="shared" si="151"/>
        <v>-</v>
      </c>
      <c r="M915" s="254" t="str">
        <f t="shared" si="151"/>
        <v>-</v>
      </c>
      <c r="N915" s="255"/>
    </row>
    <row r="916" spans="1:14" s="256" customFormat="1" hidden="1" outlineLevel="2">
      <c r="A916" s="178"/>
      <c r="B916" s="252" t="s">
        <v>202</v>
      </c>
      <c r="C916" s="253" t="s">
        <v>176</v>
      </c>
      <c r="D916" s="173">
        <v>1</v>
      </c>
      <c r="E916" s="252">
        <v>2.2999999999999998</v>
      </c>
      <c r="F916" s="252">
        <v>1.1200000000000001</v>
      </c>
      <c r="G916" s="254" t="str">
        <f t="shared" si="151"/>
        <v>-</v>
      </c>
      <c r="H916" s="254" t="str">
        <f t="shared" si="151"/>
        <v>-</v>
      </c>
      <c r="I916" s="254" t="str">
        <f t="shared" si="151"/>
        <v>-</v>
      </c>
      <c r="J916" s="254" t="str">
        <f t="shared" si="151"/>
        <v>-</v>
      </c>
      <c r="K916" s="254" t="str">
        <f t="shared" si="151"/>
        <v>-</v>
      </c>
      <c r="L916" s="254" t="str">
        <f t="shared" si="151"/>
        <v>-</v>
      </c>
      <c r="M916" s="254" t="str">
        <f t="shared" si="151"/>
        <v>-</v>
      </c>
      <c r="N916" s="255"/>
    </row>
    <row r="917" spans="1:14" s="256" customFormat="1" hidden="1" outlineLevel="2">
      <c r="A917" s="178"/>
      <c r="B917" s="257" t="s">
        <v>203</v>
      </c>
      <c r="C917" s="253" t="s">
        <v>176</v>
      </c>
      <c r="D917" s="173">
        <v>-1</v>
      </c>
      <c r="E917" s="252">
        <v>1.9</v>
      </c>
      <c r="F917" s="252">
        <v>0.9</v>
      </c>
      <c r="G917" s="254" t="str">
        <f t="shared" si="151"/>
        <v>-</v>
      </c>
      <c r="H917" s="254" t="str">
        <f t="shared" si="151"/>
        <v>-</v>
      </c>
      <c r="I917" s="254" t="str">
        <f t="shared" si="151"/>
        <v>-</v>
      </c>
      <c r="J917" s="254" t="str">
        <f t="shared" si="151"/>
        <v>-</v>
      </c>
      <c r="K917" s="254" t="str">
        <f t="shared" si="151"/>
        <v>-</v>
      </c>
      <c r="L917" s="254" t="str">
        <f t="shared" si="151"/>
        <v>-</v>
      </c>
      <c r="M917" s="254" t="str">
        <f t="shared" si="151"/>
        <v>-</v>
      </c>
      <c r="N917" s="255"/>
    </row>
    <row r="918" spans="1:14" s="256" customFormat="1" hidden="1" outlineLevel="2">
      <c r="A918" s="259"/>
      <c r="B918" s="252"/>
      <c r="D918" s="253"/>
      <c r="E918" s="252"/>
      <c r="F918" s="252"/>
      <c r="G918" s="254" t="str">
        <f t="shared" ref="G918:M918" si="152">IF($D918=G$5,PRODUCT($D918:$F918),"-")</f>
        <v>-</v>
      </c>
      <c r="H918" s="254" t="str">
        <f t="shared" si="152"/>
        <v>-</v>
      </c>
      <c r="I918" s="254" t="str">
        <f t="shared" si="152"/>
        <v>-</v>
      </c>
      <c r="J918" s="254" t="str">
        <f t="shared" si="152"/>
        <v>-</v>
      </c>
      <c r="K918" s="254" t="str">
        <f t="shared" si="152"/>
        <v>-</v>
      </c>
      <c r="L918" s="254" t="str">
        <f t="shared" si="152"/>
        <v>-</v>
      </c>
      <c r="M918" s="254" t="str">
        <f t="shared" si="152"/>
        <v>-</v>
      </c>
      <c r="N918" s="255"/>
    </row>
    <row r="919" spans="1:14" s="236" customFormat="1" ht="15" hidden="1" outlineLevel="1">
      <c r="A919" s="260"/>
      <c r="B919" s="261" t="s">
        <v>291</v>
      </c>
      <c r="C919" s="260"/>
      <c r="D919" s="262">
        <v>1</v>
      </c>
      <c r="E919" s="263"/>
      <c r="F919" s="263"/>
      <c r="G919" s="264">
        <f>SUM(G865,G884,G901)</f>
        <v>77.699999999999989</v>
      </c>
      <c r="H919" s="264">
        <f t="shared" ref="H919:M919" si="153">SUM(H865,H884,H901)</f>
        <v>36.9</v>
      </c>
      <c r="I919" s="264">
        <f t="shared" si="153"/>
        <v>17.720000000000002</v>
      </c>
      <c r="J919" s="264">
        <f t="shared" si="153"/>
        <v>1.44</v>
      </c>
      <c r="K919" s="264">
        <f t="shared" si="153"/>
        <v>0</v>
      </c>
      <c r="L919" s="264">
        <f t="shared" si="153"/>
        <v>0</v>
      </c>
      <c r="M919" s="264">
        <f t="shared" si="153"/>
        <v>0</v>
      </c>
      <c r="N919" s="265" t="s">
        <v>299</v>
      </c>
    </row>
    <row r="920" spans="1:14" s="236" customFormat="1" ht="15" hidden="1" outlineLevel="1">
      <c r="A920" s="260"/>
      <c r="B920" s="261" t="s">
        <v>300</v>
      </c>
      <c r="C920" s="260"/>
      <c r="D920" s="262">
        <v>1</v>
      </c>
      <c r="E920" s="263"/>
      <c r="F920" s="263"/>
      <c r="G920" s="264">
        <f>SUM(G813,G832,G844)*2</f>
        <v>166.39999999999998</v>
      </c>
      <c r="H920" s="264">
        <f t="shared" ref="H920:M920" si="154">SUM(H813,H832,H844)*2</f>
        <v>54.4</v>
      </c>
      <c r="I920" s="264">
        <f t="shared" si="154"/>
        <v>31.919999999999995</v>
      </c>
      <c r="J920" s="264">
        <f t="shared" si="154"/>
        <v>2.16</v>
      </c>
      <c r="K920" s="264">
        <f t="shared" si="154"/>
        <v>0</v>
      </c>
      <c r="L920" s="264">
        <f t="shared" si="154"/>
        <v>0</v>
      </c>
      <c r="M920" s="264">
        <f t="shared" si="154"/>
        <v>0</v>
      </c>
      <c r="N920" s="265" t="s">
        <v>301</v>
      </c>
    </row>
    <row r="921" spans="1:14" s="236" customFormat="1" ht="15" hidden="1" outlineLevel="1">
      <c r="A921" s="260"/>
      <c r="B921" s="261" t="s">
        <v>302</v>
      </c>
      <c r="C921" s="260"/>
      <c r="D921" s="262">
        <v>1</v>
      </c>
      <c r="E921" s="263"/>
      <c r="F921" s="263"/>
      <c r="G921" s="264">
        <f>G795</f>
        <v>23.7</v>
      </c>
      <c r="H921" s="264">
        <f t="shared" ref="H921:M921" si="155">H795</f>
        <v>4.05</v>
      </c>
      <c r="I921" s="264">
        <f t="shared" si="155"/>
        <v>2.6</v>
      </c>
      <c r="J921" s="264">
        <f t="shared" si="155"/>
        <v>0</v>
      </c>
      <c r="K921" s="264">
        <f t="shared" si="155"/>
        <v>0</v>
      </c>
      <c r="L921" s="264">
        <f t="shared" si="155"/>
        <v>0</v>
      </c>
      <c r="M921" s="264">
        <f t="shared" si="155"/>
        <v>0</v>
      </c>
      <c r="N921" s="265" t="s">
        <v>303</v>
      </c>
    </row>
    <row r="922" spans="1:14" s="236" customFormat="1" ht="15" hidden="1" outlineLevel="1">
      <c r="A922" s="260"/>
      <c r="B922" s="261" t="s">
        <v>304</v>
      </c>
      <c r="C922" s="260"/>
      <c r="D922" s="262">
        <v>1</v>
      </c>
      <c r="E922" s="263"/>
      <c r="F922" s="263"/>
      <c r="G922" s="264">
        <f>G776</f>
        <v>20.8</v>
      </c>
      <c r="H922" s="264">
        <f t="shared" ref="H922:M922" si="156">H776</f>
        <v>5.7</v>
      </c>
      <c r="I922" s="264">
        <f t="shared" si="156"/>
        <v>4.04</v>
      </c>
      <c r="J922" s="264">
        <f t="shared" si="156"/>
        <v>0.36</v>
      </c>
      <c r="K922" s="264">
        <f t="shared" si="156"/>
        <v>0</v>
      </c>
      <c r="L922" s="264">
        <f t="shared" si="156"/>
        <v>0</v>
      </c>
      <c r="M922" s="264">
        <f t="shared" si="156"/>
        <v>0</v>
      </c>
      <c r="N922" s="265" t="s">
        <v>305</v>
      </c>
    </row>
    <row r="923" spans="1:14" s="236" customFormat="1" ht="15" hidden="1" outlineLevel="1">
      <c r="A923" s="260"/>
      <c r="B923" s="261" t="s">
        <v>306</v>
      </c>
      <c r="C923" s="260"/>
      <c r="D923" s="262">
        <v>1</v>
      </c>
      <c r="E923" s="263"/>
      <c r="F923" s="263"/>
      <c r="G923" s="264">
        <f>G757</f>
        <v>20.8</v>
      </c>
      <c r="H923" s="264">
        <f t="shared" ref="H923:M923" si="157">H757</f>
        <v>5.4</v>
      </c>
      <c r="I923" s="264">
        <f t="shared" si="157"/>
        <v>21.6</v>
      </c>
      <c r="J923" s="264">
        <f t="shared" si="157"/>
        <v>0.36</v>
      </c>
      <c r="K923" s="264">
        <f t="shared" si="157"/>
        <v>0</v>
      </c>
      <c r="L923" s="264">
        <f t="shared" si="157"/>
        <v>0</v>
      </c>
      <c r="M923" s="264">
        <f t="shared" si="157"/>
        <v>0</v>
      </c>
      <c r="N923" s="265" t="s">
        <v>307</v>
      </c>
    </row>
    <row r="924" spans="1:14" s="251" customFormat="1" ht="15" hidden="1" outlineLevel="1" collapsed="1">
      <c r="A924" s="245"/>
      <c r="B924" s="246" t="s">
        <v>308</v>
      </c>
      <c r="C924" s="245"/>
      <c r="D924" s="247">
        <v>1</v>
      </c>
      <c r="E924" s="248"/>
      <c r="F924" s="248"/>
      <c r="G924" s="249">
        <f>SUBTOTAL(9,G925:G938)</f>
        <v>37.799999999999997</v>
      </c>
      <c r="H924" s="249">
        <f t="shared" ref="H924:M924" si="158">SUBTOTAL(9,H925:H938)</f>
        <v>0</v>
      </c>
      <c r="I924" s="249">
        <f t="shared" si="158"/>
        <v>7.5</v>
      </c>
      <c r="J924" s="249">
        <f t="shared" si="158"/>
        <v>0.36</v>
      </c>
      <c r="K924" s="249">
        <f t="shared" si="158"/>
        <v>1.8</v>
      </c>
      <c r="L924" s="249">
        <f t="shared" si="158"/>
        <v>0.8</v>
      </c>
      <c r="M924" s="249">
        <f t="shared" si="158"/>
        <v>0</v>
      </c>
      <c r="N924" s="250"/>
    </row>
    <row r="925" spans="1:14" s="256" customFormat="1" hidden="1" outlineLevel="2">
      <c r="A925" s="178"/>
      <c r="B925" s="252" t="s">
        <v>189</v>
      </c>
      <c r="C925" s="253" t="s">
        <v>169</v>
      </c>
      <c r="D925" s="173">
        <v>1</v>
      </c>
      <c r="E925" s="252">
        <v>37.799999999999997</v>
      </c>
      <c r="F925" s="252"/>
      <c r="G925" s="254">
        <f t="shared" ref="G925:M945" si="159">IF($C925=G$5,PRODUCT($D925:$F925),"-")</f>
        <v>37.799999999999997</v>
      </c>
      <c r="H925" s="254" t="str">
        <f t="shared" si="159"/>
        <v>-</v>
      </c>
      <c r="I925" s="254" t="str">
        <f t="shared" si="159"/>
        <v>-</v>
      </c>
      <c r="J925" s="254" t="str">
        <f t="shared" si="159"/>
        <v>-</v>
      </c>
      <c r="K925" s="254" t="str">
        <f t="shared" si="159"/>
        <v>-</v>
      </c>
      <c r="L925" s="254" t="str">
        <f t="shared" si="159"/>
        <v>-</v>
      </c>
      <c r="M925" s="254" t="str">
        <f t="shared" si="159"/>
        <v>-</v>
      </c>
      <c r="N925" s="255"/>
    </row>
    <row r="926" spans="1:14" s="256" customFormat="1" hidden="1" outlineLevel="2">
      <c r="A926" s="178"/>
      <c r="B926" s="252" t="s">
        <v>190</v>
      </c>
      <c r="C926" s="253" t="s">
        <v>170</v>
      </c>
      <c r="D926" s="173">
        <v>1</v>
      </c>
      <c r="E926" s="252">
        <v>39.6</v>
      </c>
      <c r="F926" s="252"/>
      <c r="G926" s="254" t="str">
        <f t="shared" si="159"/>
        <v>-</v>
      </c>
      <c r="H926" s="254" t="str">
        <f t="shared" si="159"/>
        <v>-</v>
      </c>
      <c r="I926" s="254" t="str">
        <f t="shared" si="159"/>
        <v>-</v>
      </c>
      <c r="J926" s="254" t="str">
        <f t="shared" si="159"/>
        <v>-</v>
      </c>
      <c r="K926" s="254" t="str">
        <f t="shared" si="159"/>
        <v>-</v>
      </c>
      <c r="L926" s="254" t="str">
        <f t="shared" si="159"/>
        <v>-</v>
      </c>
      <c r="M926" s="254" t="str">
        <f t="shared" si="159"/>
        <v>-</v>
      </c>
      <c r="N926" s="255"/>
    </row>
    <row r="927" spans="1:14" s="256" customFormat="1" hidden="1" outlineLevel="2">
      <c r="A927" s="178"/>
      <c r="B927" s="252" t="s">
        <v>196</v>
      </c>
      <c r="C927" s="253" t="s">
        <v>173</v>
      </c>
      <c r="D927" s="173">
        <v>1</v>
      </c>
      <c r="E927" s="252">
        <v>7.5</v>
      </c>
      <c r="F927" s="252"/>
      <c r="G927" s="254" t="str">
        <f t="shared" si="159"/>
        <v>-</v>
      </c>
      <c r="H927" s="254" t="str">
        <f t="shared" si="159"/>
        <v>-</v>
      </c>
      <c r="I927" s="254">
        <f t="shared" si="159"/>
        <v>7.5</v>
      </c>
      <c r="J927" s="254" t="str">
        <f t="shared" si="159"/>
        <v>-</v>
      </c>
      <c r="K927" s="254" t="str">
        <f t="shared" si="159"/>
        <v>-</v>
      </c>
      <c r="L927" s="254" t="str">
        <f t="shared" si="159"/>
        <v>-</v>
      </c>
      <c r="M927" s="254" t="str">
        <f t="shared" si="159"/>
        <v>-</v>
      </c>
      <c r="N927" s="255"/>
    </row>
    <row r="928" spans="1:14" s="256" customFormat="1" hidden="1" outlineLevel="2">
      <c r="A928" s="178"/>
      <c r="B928" s="252" t="s">
        <v>197</v>
      </c>
      <c r="C928" s="253" t="s">
        <v>175</v>
      </c>
      <c r="D928" s="173">
        <v>1</v>
      </c>
      <c r="E928" s="252">
        <f>0.3*0.6*2</f>
        <v>0.36</v>
      </c>
      <c r="F928" s="252"/>
      <c r="G928" s="254" t="str">
        <f t="shared" si="159"/>
        <v>-</v>
      </c>
      <c r="H928" s="254" t="str">
        <f t="shared" si="159"/>
        <v>-</v>
      </c>
      <c r="I928" s="254" t="str">
        <f t="shared" si="159"/>
        <v>-</v>
      </c>
      <c r="J928" s="254">
        <f t="shared" si="159"/>
        <v>0.36</v>
      </c>
      <c r="K928" s="254" t="str">
        <f t="shared" si="159"/>
        <v>-</v>
      </c>
      <c r="L928" s="254" t="str">
        <f t="shared" si="159"/>
        <v>-</v>
      </c>
      <c r="M928" s="254" t="str">
        <f t="shared" si="159"/>
        <v>-</v>
      </c>
      <c r="N928" s="255"/>
    </row>
    <row r="929" spans="1:14" s="256" customFormat="1" hidden="1" outlineLevel="2">
      <c r="A929" s="178"/>
      <c r="B929" s="252" t="s">
        <v>198</v>
      </c>
      <c r="C929" s="253" t="s">
        <v>174</v>
      </c>
      <c r="D929" s="173">
        <v>1</v>
      </c>
      <c r="E929" s="252">
        <v>17.100000000000001</v>
      </c>
      <c r="F929" s="252">
        <v>2.2999999999999998</v>
      </c>
      <c r="G929" s="254" t="str">
        <f t="shared" si="159"/>
        <v>-</v>
      </c>
      <c r="H929" s="254" t="str">
        <f t="shared" si="159"/>
        <v>-</v>
      </c>
      <c r="I929" s="254" t="str">
        <f t="shared" si="159"/>
        <v>-</v>
      </c>
      <c r="J929" s="254" t="str">
        <f t="shared" si="159"/>
        <v>-</v>
      </c>
      <c r="K929" s="254" t="str">
        <f t="shared" si="159"/>
        <v>-</v>
      </c>
      <c r="L929" s="254" t="str">
        <f t="shared" si="159"/>
        <v>-</v>
      </c>
      <c r="M929" s="254" t="str">
        <f t="shared" si="159"/>
        <v>-</v>
      </c>
      <c r="N929" s="255"/>
    </row>
    <row r="930" spans="1:14" s="256" customFormat="1" hidden="1" outlineLevel="2">
      <c r="A930" s="178"/>
      <c r="B930" s="257" t="s">
        <v>241</v>
      </c>
      <c r="C930" s="253" t="s">
        <v>174</v>
      </c>
      <c r="D930" s="173">
        <v>-1</v>
      </c>
      <c r="E930" s="252">
        <v>0.8</v>
      </c>
      <c r="F930" s="252">
        <v>2.2200000000000002</v>
      </c>
      <c r="G930" s="254" t="str">
        <f t="shared" si="159"/>
        <v>-</v>
      </c>
      <c r="H930" s="254" t="str">
        <f t="shared" si="159"/>
        <v>-</v>
      </c>
      <c r="I930" s="254" t="str">
        <f t="shared" si="159"/>
        <v>-</v>
      </c>
      <c r="J930" s="254" t="str">
        <f t="shared" si="159"/>
        <v>-</v>
      </c>
      <c r="K930" s="254" t="str">
        <f t="shared" si="159"/>
        <v>-</v>
      </c>
      <c r="L930" s="254" t="str">
        <f t="shared" si="159"/>
        <v>-</v>
      </c>
      <c r="M930" s="254" t="str">
        <f t="shared" si="159"/>
        <v>-</v>
      </c>
      <c r="N930" s="255"/>
    </row>
    <row r="931" spans="1:14" s="256" customFormat="1" hidden="1" outlineLevel="2">
      <c r="A931" s="178"/>
      <c r="B931" s="257" t="s">
        <v>242</v>
      </c>
      <c r="C931" s="253" t="s">
        <v>174</v>
      </c>
      <c r="D931" s="173">
        <v>-1</v>
      </c>
      <c r="E931" s="252">
        <f>5.3-2.3</f>
        <v>3</v>
      </c>
      <c r="F931" s="252">
        <v>0.55000000000000004</v>
      </c>
      <c r="G931" s="254" t="str">
        <f t="shared" si="159"/>
        <v>-</v>
      </c>
      <c r="H931" s="254" t="str">
        <f t="shared" si="159"/>
        <v>-</v>
      </c>
      <c r="I931" s="254" t="str">
        <f t="shared" si="159"/>
        <v>-</v>
      </c>
      <c r="J931" s="254" t="str">
        <f t="shared" si="159"/>
        <v>-</v>
      </c>
      <c r="K931" s="254" t="str">
        <f t="shared" si="159"/>
        <v>-</v>
      </c>
      <c r="L931" s="254" t="str">
        <f t="shared" si="159"/>
        <v>-</v>
      </c>
      <c r="M931" s="254" t="str">
        <f t="shared" si="159"/>
        <v>-</v>
      </c>
      <c r="N931" s="255"/>
    </row>
    <row r="932" spans="1:14" s="256" customFormat="1" hidden="1" outlineLevel="2">
      <c r="A932" s="178"/>
      <c r="B932" s="257" t="s">
        <v>243</v>
      </c>
      <c r="C932" s="253" t="s">
        <v>174</v>
      </c>
      <c r="D932" s="173">
        <v>-1</v>
      </c>
      <c r="E932" s="252">
        <f>2.17+1.27</f>
        <v>3.44</v>
      </c>
      <c r="F932" s="252">
        <v>1.6</v>
      </c>
      <c r="G932" s="254" t="str">
        <f t="shared" si="159"/>
        <v>-</v>
      </c>
      <c r="H932" s="254" t="str">
        <f t="shared" si="159"/>
        <v>-</v>
      </c>
      <c r="I932" s="254" t="str">
        <f t="shared" si="159"/>
        <v>-</v>
      </c>
      <c r="J932" s="254" t="str">
        <f t="shared" si="159"/>
        <v>-</v>
      </c>
      <c r="K932" s="254" t="str">
        <f t="shared" si="159"/>
        <v>-</v>
      </c>
      <c r="L932" s="254" t="str">
        <f t="shared" si="159"/>
        <v>-</v>
      </c>
      <c r="M932" s="254" t="str">
        <f t="shared" si="159"/>
        <v>-</v>
      </c>
      <c r="N932" s="255"/>
    </row>
    <row r="933" spans="1:14" s="256" customFormat="1" hidden="1" outlineLevel="2">
      <c r="A933" s="178"/>
      <c r="B933" s="258" t="s">
        <v>201</v>
      </c>
      <c r="C933" s="253" t="s">
        <v>174</v>
      </c>
      <c r="D933" s="173">
        <v>1</v>
      </c>
      <c r="E933" s="252">
        <v>4.4000000000000004</v>
      </c>
      <c r="F933" s="252">
        <v>0.25</v>
      </c>
      <c r="G933" s="254" t="str">
        <f t="shared" si="159"/>
        <v>-</v>
      </c>
      <c r="H933" s="254" t="str">
        <f t="shared" si="159"/>
        <v>-</v>
      </c>
      <c r="I933" s="254" t="str">
        <f t="shared" si="159"/>
        <v>-</v>
      </c>
      <c r="J933" s="254" t="str">
        <f t="shared" si="159"/>
        <v>-</v>
      </c>
      <c r="K933" s="254" t="str">
        <f t="shared" si="159"/>
        <v>-</v>
      </c>
      <c r="L933" s="254" t="str">
        <f t="shared" si="159"/>
        <v>-</v>
      </c>
      <c r="M933" s="254" t="str">
        <f t="shared" si="159"/>
        <v>-</v>
      </c>
      <c r="N933" s="255"/>
    </row>
    <row r="934" spans="1:14" s="256" customFormat="1" hidden="1" outlineLevel="2">
      <c r="A934" s="178"/>
      <c r="B934" s="252" t="s">
        <v>202</v>
      </c>
      <c r="C934" s="253" t="s">
        <v>176</v>
      </c>
      <c r="D934" s="173">
        <v>1</v>
      </c>
      <c r="E934" s="252">
        <v>2.15</v>
      </c>
      <c r="F934" s="252">
        <v>1.1499999999999999</v>
      </c>
      <c r="G934" s="254" t="str">
        <f t="shared" si="159"/>
        <v>-</v>
      </c>
      <c r="H934" s="254" t="str">
        <f t="shared" si="159"/>
        <v>-</v>
      </c>
      <c r="I934" s="254" t="str">
        <f t="shared" si="159"/>
        <v>-</v>
      </c>
      <c r="J934" s="254" t="str">
        <f t="shared" si="159"/>
        <v>-</v>
      </c>
      <c r="K934" s="254" t="str">
        <f t="shared" si="159"/>
        <v>-</v>
      </c>
      <c r="L934" s="254" t="str">
        <f t="shared" si="159"/>
        <v>-</v>
      </c>
      <c r="M934" s="254" t="str">
        <f t="shared" si="159"/>
        <v>-</v>
      </c>
      <c r="N934" s="255"/>
    </row>
    <row r="935" spans="1:14" s="256" customFormat="1" hidden="1" outlineLevel="2">
      <c r="A935" s="178"/>
      <c r="B935" s="257" t="s">
        <v>203</v>
      </c>
      <c r="C935" s="253" t="s">
        <v>176</v>
      </c>
      <c r="D935" s="173">
        <v>-1</v>
      </c>
      <c r="E935" s="252">
        <v>1.65</v>
      </c>
      <c r="F935" s="252">
        <v>0.7</v>
      </c>
      <c r="G935" s="254" t="str">
        <f t="shared" si="159"/>
        <v>-</v>
      </c>
      <c r="H935" s="254" t="str">
        <f t="shared" si="159"/>
        <v>-</v>
      </c>
      <c r="I935" s="254" t="str">
        <f t="shared" si="159"/>
        <v>-</v>
      </c>
      <c r="J935" s="254" t="str">
        <f t="shared" si="159"/>
        <v>-</v>
      </c>
      <c r="K935" s="254" t="str">
        <f t="shared" si="159"/>
        <v>-</v>
      </c>
      <c r="L935" s="254" t="str">
        <f t="shared" si="159"/>
        <v>-</v>
      </c>
      <c r="M935" s="254" t="str">
        <f t="shared" si="159"/>
        <v>-</v>
      </c>
      <c r="N935" s="255"/>
    </row>
    <row r="936" spans="1:14" s="256" customFormat="1" hidden="1" outlineLevel="2">
      <c r="A936" s="178"/>
      <c r="B936" s="252" t="s">
        <v>204</v>
      </c>
      <c r="C936" s="253" t="s">
        <v>177</v>
      </c>
      <c r="D936" s="173">
        <v>2</v>
      </c>
      <c r="E936" s="252">
        <v>0.9</v>
      </c>
      <c r="F936" s="252"/>
      <c r="G936" s="254" t="str">
        <f t="shared" si="159"/>
        <v>-</v>
      </c>
      <c r="H936" s="254" t="str">
        <f t="shared" si="159"/>
        <v>-</v>
      </c>
      <c r="I936" s="254" t="str">
        <f t="shared" si="159"/>
        <v>-</v>
      </c>
      <c r="J936" s="254" t="str">
        <f t="shared" si="159"/>
        <v>-</v>
      </c>
      <c r="K936" s="254">
        <f t="shared" si="159"/>
        <v>1.8</v>
      </c>
      <c r="L936" s="254" t="str">
        <f t="shared" si="159"/>
        <v>-</v>
      </c>
      <c r="M936" s="254" t="str">
        <f t="shared" si="159"/>
        <v>-</v>
      </c>
      <c r="N936" s="255"/>
    </row>
    <row r="937" spans="1:14" s="256" customFormat="1" hidden="1" outlineLevel="2">
      <c r="A937" s="178"/>
      <c r="B937" s="252" t="s">
        <v>205</v>
      </c>
      <c r="C937" s="253" t="s">
        <v>178</v>
      </c>
      <c r="D937" s="173">
        <v>1</v>
      </c>
      <c r="E937" s="252">
        <v>0.8</v>
      </c>
      <c r="F937" s="252"/>
      <c r="G937" s="254" t="str">
        <f t="shared" si="159"/>
        <v>-</v>
      </c>
      <c r="H937" s="254" t="str">
        <f t="shared" si="159"/>
        <v>-</v>
      </c>
      <c r="I937" s="254" t="str">
        <f t="shared" si="159"/>
        <v>-</v>
      </c>
      <c r="J937" s="254" t="str">
        <f t="shared" si="159"/>
        <v>-</v>
      </c>
      <c r="K937" s="254" t="str">
        <f t="shared" si="159"/>
        <v>-</v>
      </c>
      <c r="L937" s="254">
        <f t="shared" si="159"/>
        <v>0.8</v>
      </c>
      <c r="M937" s="254" t="str">
        <f t="shared" si="159"/>
        <v>-</v>
      </c>
      <c r="N937" s="255"/>
    </row>
    <row r="938" spans="1:14" s="256" customFormat="1" hidden="1" outlineLevel="2">
      <c r="A938" s="259"/>
      <c r="B938" s="252"/>
      <c r="C938" s="253"/>
      <c r="D938" s="173"/>
      <c r="E938" s="252"/>
      <c r="F938" s="252"/>
      <c r="G938" s="254" t="str">
        <f t="shared" si="159"/>
        <v>-</v>
      </c>
      <c r="H938" s="254" t="str">
        <f t="shared" si="159"/>
        <v>-</v>
      </c>
      <c r="I938" s="254" t="str">
        <f t="shared" si="159"/>
        <v>-</v>
      </c>
      <c r="J938" s="254" t="str">
        <f t="shared" si="159"/>
        <v>-</v>
      </c>
      <c r="K938" s="254" t="str">
        <f t="shared" si="159"/>
        <v>-</v>
      </c>
      <c r="L938" s="254" t="str">
        <f t="shared" si="159"/>
        <v>-</v>
      </c>
      <c r="M938" s="254" t="str">
        <f t="shared" si="159"/>
        <v>-</v>
      </c>
      <c r="N938" s="255"/>
    </row>
    <row r="939" spans="1:14" s="251" customFormat="1" ht="15" hidden="1" outlineLevel="1" collapsed="1">
      <c r="A939" s="245"/>
      <c r="B939" s="246" t="s">
        <v>234</v>
      </c>
      <c r="C939" s="245"/>
      <c r="D939" s="247">
        <v>1</v>
      </c>
      <c r="E939" s="248"/>
      <c r="F939" s="248"/>
      <c r="G939" s="249">
        <f>SUBTOTAL(9,G940:G948)</f>
        <v>33.700000000000003</v>
      </c>
      <c r="H939" s="249">
        <f t="shared" ref="H939:M939" si="160">SUBTOTAL(9,H940:H948)</f>
        <v>22.3</v>
      </c>
      <c r="I939" s="249">
        <f t="shared" si="160"/>
        <v>4</v>
      </c>
      <c r="J939" s="249">
        <f t="shared" si="160"/>
        <v>0</v>
      </c>
      <c r="K939" s="249">
        <f t="shared" si="160"/>
        <v>1.8</v>
      </c>
      <c r="L939" s="249">
        <f t="shared" si="160"/>
        <v>1.2</v>
      </c>
      <c r="M939" s="249">
        <f t="shared" si="160"/>
        <v>0</v>
      </c>
      <c r="N939" s="250"/>
    </row>
    <row r="940" spans="1:14" s="256" customFormat="1" hidden="1" outlineLevel="2">
      <c r="A940" s="178"/>
      <c r="B940" s="252" t="s">
        <v>189</v>
      </c>
      <c r="C940" s="253" t="s">
        <v>169</v>
      </c>
      <c r="D940" s="173">
        <v>1</v>
      </c>
      <c r="E940" s="252">
        <v>33.700000000000003</v>
      </c>
      <c r="F940" s="252"/>
      <c r="G940" s="254">
        <f t="shared" si="159"/>
        <v>33.700000000000003</v>
      </c>
      <c r="H940" s="254" t="str">
        <f t="shared" si="159"/>
        <v>-</v>
      </c>
      <c r="I940" s="254" t="str">
        <f t="shared" si="159"/>
        <v>-</v>
      </c>
      <c r="J940" s="254" t="str">
        <f t="shared" si="159"/>
        <v>-</v>
      </c>
      <c r="K940" s="254" t="str">
        <f t="shared" si="159"/>
        <v>-</v>
      </c>
      <c r="L940" s="254" t="str">
        <f t="shared" si="159"/>
        <v>-</v>
      </c>
      <c r="M940" s="254" t="str">
        <f t="shared" si="159"/>
        <v>-</v>
      </c>
      <c r="N940" s="255"/>
    </row>
    <row r="941" spans="1:14" s="256" customFormat="1" hidden="1" outlineLevel="2">
      <c r="A941" s="178"/>
      <c r="B941" s="252" t="s">
        <v>190</v>
      </c>
      <c r="C941" s="253" t="s">
        <v>170</v>
      </c>
      <c r="D941" s="173">
        <v>1</v>
      </c>
      <c r="E941" s="252">
        <v>26.6</v>
      </c>
      <c r="F941" s="252"/>
      <c r="G941" s="254" t="str">
        <f t="shared" si="159"/>
        <v>-</v>
      </c>
      <c r="H941" s="254" t="str">
        <f t="shared" si="159"/>
        <v>-</v>
      </c>
      <c r="I941" s="254" t="str">
        <f t="shared" si="159"/>
        <v>-</v>
      </c>
      <c r="J941" s="254" t="str">
        <f t="shared" si="159"/>
        <v>-</v>
      </c>
      <c r="K941" s="254" t="str">
        <f t="shared" si="159"/>
        <v>-</v>
      </c>
      <c r="L941" s="254" t="str">
        <f t="shared" si="159"/>
        <v>-</v>
      </c>
      <c r="M941" s="254" t="str">
        <f t="shared" si="159"/>
        <v>-</v>
      </c>
      <c r="N941" s="255"/>
    </row>
    <row r="942" spans="1:14" s="256" customFormat="1" hidden="1" outlineLevel="2">
      <c r="A942" s="178"/>
      <c r="B942" s="252" t="s">
        <v>193</v>
      </c>
      <c r="C942" s="253" t="s">
        <v>171</v>
      </c>
      <c r="D942" s="173">
        <v>1</v>
      </c>
      <c r="E942" s="252">
        <v>22.3</v>
      </c>
      <c r="F942" s="252"/>
      <c r="G942" s="254" t="str">
        <f t="shared" si="159"/>
        <v>-</v>
      </c>
      <c r="H942" s="254">
        <f t="shared" si="159"/>
        <v>22.3</v>
      </c>
      <c r="I942" s="254" t="str">
        <f t="shared" si="159"/>
        <v>-</v>
      </c>
      <c r="J942" s="254" t="str">
        <f t="shared" si="159"/>
        <v>-</v>
      </c>
      <c r="K942" s="254" t="str">
        <f t="shared" si="159"/>
        <v>-</v>
      </c>
      <c r="L942" s="254" t="str">
        <f t="shared" si="159"/>
        <v>-</v>
      </c>
      <c r="M942" s="254" t="str">
        <f t="shared" si="159"/>
        <v>-</v>
      </c>
      <c r="N942" s="255"/>
    </row>
    <row r="943" spans="1:14" s="256" customFormat="1" hidden="1" outlineLevel="2">
      <c r="A943" s="178"/>
      <c r="B943" s="252" t="s">
        <v>194</v>
      </c>
      <c r="C943" s="253" t="s">
        <v>172</v>
      </c>
      <c r="D943" s="173">
        <v>1</v>
      </c>
      <c r="E943" s="252">
        <v>21.5</v>
      </c>
      <c r="F943" s="252"/>
      <c r="G943" s="254" t="str">
        <f t="shared" si="159"/>
        <v>-</v>
      </c>
      <c r="H943" s="254" t="str">
        <f t="shared" si="159"/>
        <v>-</v>
      </c>
      <c r="I943" s="254" t="str">
        <f t="shared" si="159"/>
        <v>-</v>
      </c>
      <c r="J943" s="254" t="str">
        <f t="shared" si="159"/>
        <v>-</v>
      </c>
      <c r="K943" s="254" t="str">
        <f t="shared" si="159"/>
        <v>-</v>
      </c>
      <c r="L943" s="254" t="str">
        <f t="shared" si="159"/>
        <v>-</v>
      </c>
      <c r="M943" s="254" t="str">
        <f t="shared" si="159"/>
        <v>-</v>
      </c>
      <c r="N943" s="255"/>
    </row>
    <row r="944" spans="1:14" s="256" customFormat="1" hidden="1" outlineLevel="2">
      <c r="A944" s="178"/>
      <c r="B944" s="252" t="s">
        <v>196</v>
      </c>
      <c r="C944" s="253" t="s">
        <v>173</v>
      </c>
      <c r="D944" s="173">
        <v>1</v>
      </c>
      <c r="E944" s="252">
        <v>4</v>
      </c>
      <c r="F944" s="252"/>
      <c r="G944" s="254" t="str">
        <f t="shared" si="159"/>
        <v>-</v>
      </c>
      <c r="H944" s="254" t="str">
        <f t="shared" si="159"/>
        <v>-</v>
      </c>
      <c r="I944" s="254">
        <f t="shared" si="159"/>
        <v>4</v>
      </c>
      <c r="J944" s="254" t="str">
        <f t="shared" si="159"/>
        <v>-</v>
      </c>
      <c r="K944" s="254" t="str">
        <f t="shared" si="159"/>
        <v>-</v>
      </c>
      <c r="L944" s="254" t="str">
        <f t="shared" si="159"/>
        <v>-</v>
      </c>
      <c r="M944" s="254" t="str">
        <f t="shared" si="159"/>
        <v>-</v>
      </c>
      <c r="N944" s="255"/>
    </row>
    <row r="945" spans="1:14" s="256" customFormat="1" hidden="1" outlineLevel="2">
      <c r="A945" s="178"/>
      <c r="B945" s="252" t="s">
        <v>198</v>
      </c>
      <c r="C945" s="253" t="s">
        <v>174</v>
      </c>
      <c r="D945" s="173">
        <v>1</v>
      </c>
      <c r="E945" s="252">
        <v>8.6999999999999993</v>
      </c>
      <c r="F945" s="252">
        <v>2.2999999999999998</v>
      </c>
      <c r="G945" s="254" t="str">
        <f t="shared" si="159"/>
        <v>-</v>
      </c>
      <c r="H945" s="254" t="str">
        <f t="shared" si="159"/>
        <v>-</v>
      </c>
      <c r="I945" s="254" t="str">
        <f t="shared" si="159"/>
        <v>-</v>
      </c>
      <c r="J945" s="254" t="str">
        <f t="shared" si="159"/>
        <v>-</v>
      </c>
      <c r="K945" s="254" t="str">
        <f t="shared" si="159"/>
        <v>-</v>
      </c>
      <c r="L945" s="254" t="str">
        <f t="shared" si="159"/>
        <v>-</v>
      </c>
      <c r="M945" s="254" t="str">
        <f t="shared" si="159"/>
        <v>-</v>
      </c>
      <c r="N945" s="255"/>
    </row>
    <row r="946" spans="1:14" s="256" customFormat="1" hidden="1" outlineLevel="2">
      <c r="A946" s="178"/>
      <c r="B946" s="252" t="s">
        <v>204</v>
      </c>
      <c r="C946" s="253" t="s">
        <v>177</v>
      </c>
      <c r="D946" s="173">
        <v>2</v>
      </c>
      <c r="E946" s="252">
        <v>0.9</v>
      </c>
      <c r="F946" s="252"/>
      <c r="G946" s="254" t="str">
        <f t="shared" ref="G946:M948" si="161">IF($C946=G$5,PRODUCT($D946:$F946),"-")</f>
        <v>-</v>
      </c>
      <c r="H946" s="254" t="str">
        <f t="shared" si="161"/>
        <v>-</v>
      </c>
      <c r="I946" s="254" t="str">
        <f t="shared" si="161"/>
        <v>-</v>
      </c>
      <c r="J946" s="254" t="str">
        <f t="shared" si="161"/>
        <v>-</v>
      </c>
      <c r="K946" s="254">
        <f t="shared" si="161"/>
        <v>1.8</v>
      </c>
      <c r="L946" s="254" t="str">
        <f t="shared" si="161"/>
        <v>-</v>
      </c>
      <c r="M946" s="254" t="str">
        <f t="shared" si="161"/>
        <v>-</v>
      </c>
      <c r="N946" s="255"/>
    </row>
    <row r="947" spans="1:14" s="256" customFormat="1" hidden="1" outlineLevel="2">
      <c r="A947" s="178"/>
      <c r="B947" s="252" t="s">
        <v>205</v>
      </c>
      <c r="C947" s="253" t="s">
        <v>178</v>
      </c>
      <c r="D947" s="173">
        <v>1</v>
      </c>
      <c r="E947" s="252">
        <v>1.2</v>
      </c>
      <c r="F947" s="252"/>
      <c r="G947" s="254" t="str">
        <f t="shared" si="161"/>
        <v>-</v>
      </c>
      <c r="H947" s="254" t="str">
        <f t="shared" si="161"/>
        <v>-</v>
      </c>
      <c r="I947" s="254" t="str">
        <f t="shared" si="161"/>
        <v>-</v>
      </c>
      <c r="J947" s="254" t="str">
        <f t="shared" si="161"/>
        <v>-</v>
      </c>
      <c r="K947" s="254" t="str">
        <f t="shared" si="161"/>
        <v>-</v>
      </c>
      <c r="L947" s="254">
        <f t="shared" si="161"/>
        <v>1.2</v>
      </c>
      <c r="M947" s="254" t="str">
        <f t="shared" si="161"/>
        <v>-</v>
      </c>
      <c r="N947" s="255"/>
    </row>
    <row r="948" spans="1:14" s="256" customFormat="1" hidden="1" outlineLevel="2">
      <c r="A948" s="259"/>
      <c r="B948" s="252"/>
      <c r="C948" s="253"/>
      <c r="D948" s="173"/>
      <c r="E948" s="252"/>
      <c r="F948" s="252"/>
      <c r="G948" s="254" t="str">
        <f t="shared" si="161"/>
        <v>-</v>
      </c>
      <c r="H948" s="254" t="str">
        <f t="shared" si="161"/>
        <v>-</v>
      </c>
      <c r="I948" s="254" t="str">
        <f t="shared" si="161"/>
        <v>-</v>
      </c>
      <c r="J948" s="254" t="str">
        <f t="shared" si="161"/>
        <v>-</v>
      </c>
      <c r="K948" s="254" t="str">
        <f t="shared" si="161"/>
        <v>-</v>
      </c>
      <c r="L948" s="254" t="str">
        <f t="shared" si="161"/>
        <v>-</v>
      </c>
      <c r="M948" s="254" t="str">
        <f t="shared" si="161"/>
        <v>-</v>
      </c>
      <c r="N948" s="255"/>
    </row>
    <row r="949" spans="1:14" s="251" customFormat="1" ht="15" hidden="1" outlineLevel="1" collapsed="1">
      <c r="A949" s="245"/>
      <c r="B949" s="246" t="s">
        <v>245</v>
      </c>
      <c r="C949" s="245"/>
      <c r="D949" s="247">
        <v>1</v>
      </c>
      <c r="E949" s="248"/>
      <c r="F949" s="248"/>
      <c r="G949" s="249">
        <f t="shared" ref="G949:M949" si="162">SUBTOTAL(9,G950:G956)</f>
        <v>188.09999999999997</v>
      </c>
      <c r="H949" s="249">
        <f t="shared" si="162"/>
        <v>27.9</v>
      </c>
      <c r="I949" s="249">
        <f t="shared" si="162"/>
        <v>0</v>
      </c>
      <c r="J949" s="249">
        <f t="shared" si="162"/>
        <v>0</v>
      </c>
      <c r="K949" s="249">
        <f t="shared" si="162"/>
        <v>0</v>
      </c>
      <c r="L949" s="249">
        <f t="shared" si="162"/>
        <v>0</v>
      </c>
      <c r="M949" s="249">
        <f t="shared" si="162"/>
        <v>0</v>
      </c>
      <c r="N949" s="250"/>
    </row>
    <row r="950" spans="1:14" s="256" customFormat="1" hidden="1" outlineLevel="2">
      <c r="A950" s="178"/>
      <c r="B950" s="252" t="s">
        <v>189</v>
      </c>
      <c r="C950" s="253" t="s">
        <v>169</v>
      </c>
      <c r="D950" s="173">
        <v>1</v>
      </c>
      <c r="E950" s="252">
        <v>417.4</v>
      </c>
      <c r="F950" s="252"/>
      <c r="G950" s="254">
        <f t="shared" ref="G950:M956" si="163">IF($C950=G$5,PRODUCT($D950:$F950),"-")</f>
        <v>417.4</v>
      </c>
      <c r="H950" s="254" t="str">
        <f t="shared" si="163"/>
        <v>-</v>
      </c>
      <c r="I950" s="254" t="str">
        <f t="shared" si="163"/>
        <v>-</v>
      </c>
      <c r="J950" s="254" t="str">
        <f t="shared" si="163"/>
        <v>-</v>
      </c>
      <c r="K950" s="254" t="str">
        <f t="shared" si="163"/>
        <v>-</v>
      </c>
      <c r="L950" s="254" t="str">
        <f t="shared" si="163"/>
        <v>-</v>
      </c>
      <c r="M950" s="254" t="str">
        <f t="shared" si="163"/>
        <v>-</v>
      </c>
      <c r="N950" s="255"/>
    </row>
    <row r="951" spans="1:14" s="256" customFormat="1" hidden="1" outlineLevel="2">
      <c r="A951" s="178"/>
      <c r="B951" s="257" t="s">
        <v>246</v>
      </c>
      <c r="C951" s="253" t="s">
        <v>169</v>
      </c>
      <c r="D951" s="173">
        <v>-1</v>
      </c>
      <c r="E951" s="252">
        <v>229.3</v>
      </c>
      <c r="F951" s="252"/>
      <c r="G951" s="254">
        <f t="shared" si="163"/>
        <v>-229.3</v>
      </c>
      <c r="H951" s="254" t="str">
        <f t="shared" si="163"/>
        <v>-</v>
      </c>
      <c r="I951" s="254" t="str">
        <f t="shared" si="163"/>
        <v>-</v>
      </c>
      <c r="J951" s="254" t="str">
        <f t="shared" si="163"/>
        <v>-</v>
      </c>
      <c r="K951" s="254" t="str">
        <f t="shared" si="163"/>
        <v>-</v>
      </c>
      <c r="L951" s="254" t="str">
        <f t="shared" si="163"/>
        <v>-</v>
      </c>
      <c r="M951" s="254" t="str">
        <f t="shared" si="163"/>
        <v>-</v>
      </c>
      <c r="N951" s="255"/>
    </row>
    <row r="952" spans="1:14" s="256" customFormat="1" hidden="1" outlineLevel="2">
      <c r="A952" s="178"/>
      <c r="B952" s="252" t="s">
        <v>190</v>
      </c>
      <c r="C952" s="253" t="s">
        <v>170</v>
      </c>
      <c r="D952" s="173">
        <v>1</v>
      </c>
      <c r="E952" s="252">
        <f>147.2+76.7</f>
        <v>223.89999999999998</v>
      </c>
      <c r="F952" s="252"/>
      <c r="G952" s="254" t="str">
        <f t="shared" si="163"/>
        <v>-</v>
      </c>
      <c r="H952" s="254" t="str">
        <f t="shared" si="163"/>
        <v>-</v>
      </c>
      <c r="I952" s="254" t="str">
        <f t="shared" si="163"/>
        <v>-</v>
      </c>
      <c r="J952" s="254" t="str">
        <f t="shared" si="163"/>
        <v>-</v>
      </c>
      <c r="K952" s="254" t="str">
        <f t="shared" si="163"/>
        <v>-</v>
      </c>
      <c r="L952" s="254" t="str">
        <f t="shared" si="163"/>
        <v>-</v>
      </c>
      <c r="M952" s="254" t="str">
        <f t="shared" si="163"/>
        <v>-</v>
      </c>
      <c r="N952" s="255"/>
    </row>
    <row r="953" spans="1:14" s="256" customFormat="1" hidden="1" outlineLevel="2">
      <c r="A953" s="178"/>
      <c r="B953" s="266" t="s">
        <v>247</v>
      </c>
      <c r="C953" s="253" t="s">
        <v>170</v>
      </c>
      <c r="D953" s="173">
        <v>-2</v>
      </c>
      <c r="E953" s="252">
        <f>8.7+1*2+0.8*12+1.25*2</f>
        <v>22.8</v>
      </c>
      <c r="F953" s="252"/>
      <c r="G953" s="254" t="str">
        <f t="shared" si="163"/>
        <v>-</v>
      </c>
      <c r="H953" s="254" t="str">
        <f t="shared" si="163"/>
        <v>-</v>
      </c>
      <c r="I953" s="254" t="str">
        <f t="shared" si="163"/>
        <v>-</v>
      </c>
      <c r="J953" s="254" t="str">
        <f t="shared" si="163"/>
        <v>-</v>
      </c>
      <c r="K953" s="254" t="str">
        <f t="shared" si="163"/>
        <v>-</v>
      </c>
      <c r="L953" s="254" t="str">
        <f t="shared" si="163"/>
        <v>-</v>
      </c>
      <c r="M953" s="254" t="str">
        <f t="shared" si="163"/>
        <v>-</v>
      </c>
      <c r="N953" s="255"/>
    </row>
    <row r="954" spans="1:14" s="256" customFormat="1" hidden="1" outlineLevel="2">
      <c r="A954" s="178"/>
      <c r="B954" s="252" t="s">
        <v>193</v>
      </c>
      <c r="C954" s="253" t="s">
        <v>171</v>
      </c>
      <c r="D954" s="173">
        <v>1</v>
      </c>
      <c r="E954" s="252">
        <v>27.9</v>
      </c>
      <c r="F954" s="252"/>
      <c r="G954" s="254" t="str">
        <f t="shared" si="163"/>
        <v>-</v>
      </c>
      <c r="H954" s="254">
        <f t="shared" si="163"/>
        <v>27.9</v>
      </c>
      <c r="I954" s="254" t="str">
        <f t="shared" si="163"/>
        <v>-</v>
      </c>
      <c r="J954" s="254" t="str">
        <f t="shared" si="163"/>
        <v>-</v>
      </c>
      <c r="K954" s="254" t="str">
        <f t="shared" si="163"/>
        <v>-</v>
      </c>
      <c r="L954" s="254" t="str">
        <f t="shared" si="163"/>
        <v>-</v>
      </c>
      <c r="M954" s="254" t="str">
        <f t="shared" si="163"/>
        <v>-</v>
      </c>
      <c r="N954" s="255"/>
    </row>
    <row r="955" spans="1:14" s="256" customFormat="1" hidden="1" outlineLevel="2">
      <c r="A955" s="178"/>
      <c r="B955" s="252" t="s">
        <v>194</v>
      </c>
      <c r="C955" s="253" t="s">
        <v>172</v>
      </c>
      <c r="D955" s="173">
        <v>1</v>
      </c>
      <c r="E955" s="252">
        <v>31.5</v>
      </c>
      <c r="F955" s="252"/>
      <c r="G955" s="254" t="str">
        <f t="shared" si="163"/>
        <v>-</v>
      </c>
      <c r="H955" s="254" t="str">
        <f t="shared" si="163"/>
        <v>-</v>
      </c>
      <c r="I955" s="254" t="str">
        <f t="shared" si="163"/>
        <v>-</v>
      </c>
      <c r="J955" s="254" t="str">
        <f t="shared" si="163"/>
        <v>-</v>
      </c>
      <c r="K955" s="254" t="str">
        <f t="shared" si="163"/>
        <v>-</v>
      </c>
      <c r="L955" s="254" t="str">
        <f t="shared" si="163"/>
        <v>-</v>
      </c>
      <c r="M955" s="254" t="str">
        <f t="shared" si="163"/>
        <v>-</v>
      </c>
      <c r="N955" s="255"/>
    </row>
    <row r="956" spans="1:14" s="256" customFormat="1" hidden="1" outlineLevel="2">
      <c r="A956" s="259"/>
      <c r="B956" s="252"/>
      <c r="C956" s="253"/>
      <c r="D956" s="173"/>
      <c r="E956" s="252"/>
      <c r="F956" s="252"/>
      <c r="G956" s="254" t="str">
        <f t="shared" si="163"/>
        <v>-</v>
      </c>
      <c r="H956" s="254" t="str">
        <f t="shared" si="163"/>
        <v>-</v>
      </c>
      <c r="I956" s="254" t="str">
        <f t="shared" si="163"/>
        <v>-</v>
      </c>
      <c r="J956" s="254" t="str">
        <f t="shared" si="163"/>
        <v>-</v>
      </c>
      <c r="K956" s="254" t="str">
        <f t="shared" si="163"/>
        <v>-</v>
      </c>
      <c r="L956" s="254" t="str">
        <f t="shared" si="163"/>
        <v>-</v>
      </c>
      <c r="M956" s="254" t="str">
        <f t="shared" si="163"/>
        <v>-</v>
      </c>
      <c r="N956" s="255"/>
    </row>
    <row r="957" spans="1:14" s="236" customFormat="1" ht="15" hidden="1" outlineLevel="1">
      <c r="A957" s="230"/>
      <c r="B957" s="231" t="s">
        <v>309</v>
      </c>
      <c r="C957" s="230"/>
      <c r="D957" s="232">
        <v>11</v>
      </c>
      <c r="E957" s="233"/>
      <c r="F957" s="233"/>
      <c r="G957" s="234">
        <f>G720</f>
        <v>944.8</v>
      </c>
      <c r="H957" s="234">
        <f t="shared" ref="H957:M957" si="164">H720</f>
        <v>289.7</v>
      </c>
      <c r="I957" s="234">
        <f t="shared" si="164"/>
        <v>178.23999999999998</v>
      </c>
      <c r="J957" s="234">
        <f t="shared" si="164"/>
        <v>9.7199999999999971</v>
      </c>
      <c r="K957" s="234">
        <f t="shared" si="164"/>
        <v>4.8499999999999996</v>
      </c>
      <c r="L957" s="234">
        <f t="shared" si="164"/>
        <v>2</v>
      </c>
      <c r="M957" s="234">
        <f t="shared" si="164"/>
        <v>0</v>
      </c>
      <c r="N957" s="235" t="s">
        <v>310</v>
      </c>
    </row>
    <row r="958" spans="1:14" s="244" customFormat="1" ht="15" collapsed="1">
      <c r="A958" s="237"/>
      <c r="B958" s="238" t="s">
        <v>311</v>
      </c>
      <c r="C958" s="237"/>
      <c r="D958" s="239">
        <v>1</v>
      </c>
      <c r="E958" s="240"/>
      <c r="F958" s="241"/>
      <c r="G958" s="242">
        <f t="shared" ref="G958:M958" si="165">SUBTOTAL(9,G959:G1158)</f>
        <v>878.39999999999986</v>
      </c>
      <c r="H958" s="242">
        <f t="shared" si="165"/>
        <v>263.10000000000002</v>
      </c>
      <c r="I958" s="242">
        <f t="shared" si="165"/>
        <v>167.26</v>
      </c>
      <c r="J958" s="242">
        <f t="shared" si="165"/>
        <v>8.9999999999999982</v>
      </c>
      <c r="K958" s="242">
        <f t="shared" si="165"/>
        <v>3.6</v>
      </c>
      <c r="L958" s="242">
        <f t="shared" si="165"/>
        <v>2</v>
      </c>
      <c r="M958" s="242">
        <f t="shared" si="165"/>
        <v>0</v>
      </c>
      <c r="N958" s="243"/>
    </row>
    <row r="959" spans="1:14" s="251" customFormat="1" ht="15" hidden="1" outlineLevel="1" collapsed="1">
      <c r="A959" s="245"/>
      <c r="B959" s="246" t="s">
        <v>209</v>
      </c>
      <c r="C959" s="245"/>
      <c r="D959" s="247">
        <v>1</v>
      </c>
      <c r="E959" s="248"/>
      <c r="F959" s="248"/>
      <c r="G959" s="249">
        <f t="shared" ref="G959:M959" si="166">SUBTOTAL(9,G960:G977)</f>
        <v>20.8</v>
      </c>
      <c r="H959" s="249">
        <f t="shared" si="166"/>
        <v>5.4</v>
      </c>
      <c r="I959" s="249">
        <f t="shared" si="166"/>
        <v>21.6</v>
      </c>
      <c r="J959" s="249">
        <f t="shared" si="166"/>
        <v>0.36</v>
      </c>
      <c r="K959" s="249">
        <f t="shared" si="166"/>
        <v>0</v>
      </c>
      <c r="L959" s="249">
        <f t="shared" si="166"/>
        <v>0</v>
      </c>
      <c r="M959" s="249">
        <f t="shared" si="166"/>
        <v>0</v>
      </c>
      <c r="N959" s="250"/>
    </row>
    <row r="960" spans="1:14" s="256" customFormat="1" hidden="1" outlineLevel="2">
      <c r="A960" s="178"/>
      <c r="B960" s="252" t="s">
        <v>189</v>
      </c>
      <c r="C960" s="253" t="s">
        <v>169</v>
      </c>
      <c r="D960" s="173">
        <v>1</v>
      </c>
      <c r="E960" s="252">
        <v>20.8</v>
      </c>
      <c r="F960" s="252"/>
      <c r="G960" s="254">
        <f t="shared" ref="G960:M975" si="167">IF($C960=G$5,PRODUCT($D960:$F960),"-")</f>
        <v>20.8</v>
      </c>
      <c r="H960" s="254" t="str">
        <f t="shared" si="167"/>
        <v>-</v>
      </c>
      <c r="I960" s="254" t="str">
        <f t="shared" si="167"/>
        <v>-</v>
      </c>
      <c r="J960" s="254" t="str">
        <f t="shared" si="167"/>
        <v>-</v>
      </c>
      <c r="K960" s="254" t="str">
        <f t="shared" si="167"/>
        <v>-</v>
      </c>
      <c r="L960" s="254" t="str">
        <f t="shared" si="167"/>
        <v>-</v>
      </c>
      <c r="M960" s="254" t="str">
        <f t="shared" si="167"/>
        <v>-</v>
      </c>
      <c r="N960" s="255"/>
    </row>
    <row r="961" spans="1:14" s="256" customFormat="1" hidden="1" outlineLevel="2">
      <c r="A961" s="178"/>
      <c r="B961" s="252" t="s">
        <v>190</v>
      </c>
      <c r="C961" s="253" t="s">
        <v>170</v>
      </c>
      <c r="D961" s="173">
        <v>1</v>
      </c>
      <c r="E961" s="252">
        <v>19.399999999999999</v>
      </c>
      <c r="F961" s="252"/>
      <c r="G961" s="254" t="str">
        <f t="shared" si="167"/>
        <v>-</v>
      </c>
      <c r="H961" s="254" t="str">
        <f t="shared" si="167"/>
        <v>-</v>
      </c>
      <c r="I961" s="254" t="str">
        <f t="shared" si="167"/>
        <v>-</v>
      </c>
      <c r="J961" s="254" t="str">
        <f t="shared" si="167"/>
        <v>-</v>
      </c>
      <c r="K961" s="254" t="str">
        <f t="shared" si="167"/>
        <v>-</v>
      </c>
      <c r="L961" s="254" t="str">
        <f t="shared" si="167"/>
        <v>-</v>
      </c>
      <c r="M961" s="254" t="str">
        <f t="shared" si="167"/>
        <v>-</v>
      </c>
      <c r="N961" s="255"/>
    </row>
    <row r="962" spans="1:14" s="256" customFormat="1" hidden="1" outlineLevel="2">
      <c r="A962" s="178"/>
      <c r="B962" s="257" t="s">
        <v>191</v>
      </c>
      <c r="C962" s="253" t="s">
        <v>170</v>
      </c>
      <c r="D962" s="173">
        <v>-1</v>
      </c>
      <c r="E962" s="252">
        <f>1.2+0.8*2</f>
        <v>2.8</v>
      </c>
      <c r="F962" s="252"/>
      <c r="G962" s="254" t="str">
        <f t="shared" si="167"/>
        <v>-</v>
      </c>
      <c r="H962" s="254" t="str">
        <f t="shared" si="167"/>
        <v>-</v>
      </c>
      <c r="I962" s="254" t="str">
        <f t="shared" si="167"/>
        <v>-</v>
      </c>
      <c r="J962" s="254" t="str">
        <f t="shared" si="167"/>
        <v>-</v>
      </c>
      <c r="K962" s="254" t="str">
        <f t="shared" si="167"/>
        <v>-</v>
      </c>
      <c r="L962" s="254" t="str">
        <f t="shared" si="167"/>
        <v>-</v>
      </c>
      <c r="M962" s="254" t="str">
        <f t="shared" si="167"/>
        <v>-</v>
      </c>
      <c r="N962" s="255"/>
    </row>
    <row r="963" spans="1:14" s="256" customFormat="1" hidden="1" outlineLevel="2">
      <c r="A963" s="178"/>
      <c r="B963" s="257" t="s">
        <v>192</v>
      </c>
      <c r="C963" s="253" t="s">
        <v>170</v>
      </c>
      <c r="D963" s="173">
        <v>-1</v>
      </c>
      <c r="E963" s="252">
        <v>2.8</v>
      </c>
      <c r="F963" s="252"/>
      <c r="G963" s="254" t="str">
        <f t="shared" si="167"/>
        <v>-</v>
      </c>
      <c r="H963" s="254" t="str">
        <f t="shared" si="167"/>
        <v>-</v>
      </c>
      <c r="I963" s="254" t="str">
        <f t="shared" si="167"/>
        <v>-</v>
      </c>
      <c r="J963" s="254" t="str">
        <f t="shared" si="167"/>
        <v>-</v>
      </c>
      <c r="K963" s="254" t="str">
        <f t="shared" si="167"/>
        <v>-</v>
      </c>
      <c r="L963" s="254" t="str">
        <f t="shared" si="167"/>
        <v>-</v>
      </c>
      <c r="M963" s="254" t="str">
        <f t="shared" si="167"/>
        <v>-</v>
      </c>
      <c r="N963" s="255"/>
    </row>
    <row r="964" spans="1:14" s="256" customFormat="1" hidden="1" outlineLevel="2">
      <c r="A964" s="178"/>
      <c r="B964" s="252" t="s">
        <v>193</v>
      </c>
      <c r="C964" s="253" t="s">
        <v>171</v>
      </c>
      <c r="D964" s="173">
        <v>1</v>
      </c>
      <c r="E964" s="252">
        <v>5.4</v>
      </c>
      <c r="F964" s="252"/>
      <c r="G964" s="254" t="str">
        <f t="shared" si="167"/>
        <v>-</v>
      </c>
      <c r="H964" s="254">
        <f t="shared" si="167"/>
        <v>5.4</v>
      </c>
      <c r="I964" s="254" t="str">
        <f t="shared" si="167"/>
        <v>-</v>
      </c>
      <c r="J964" s="254" t="str">
        <f t="shared" si="167"/>
        <v>-</v>
      </c>
      <c r="K964" s="254" t="str">
        <f t="shared" si="167"/>
        <v>-</v>
      </c>
      <c r="L964" s="254" t="str">
        <f t="shared" si="167"/>
        <v>-</v>
      </c>
      <c r="M964" s="254" t="str">
        <f t="shared" si="167"/>
        <v>-</v>
      </c>
      <c r="N964" s="255"/>
    </row>
    <row r="965" spans="1:14" s="256" customFormat="1" hidden="1" outlineLevel="2">
      <c r="A965" s="178"/>
      <c r="B965" s="252" t="s">
        <v>194</v>
      </c>
      <c r="C965" s="253" t="s">
        <v>172</v>
      </c>
      <c r="D965" s="173">
        <v>1</v>
      </c>
      <c r="E965" s="252">
        <v>11</v>
      </c>
      <c r="F965" s="252"/>
      <c r="G965" s="254" t="str">
        <f t="shared" si="167"/>
        <v>-</v>
      </c>
      <c r="H965" s="254" t="str">
        <f t="shared" si="167"/>
        <v>-</v>
      </c>
      <c r="I965" s="254" t="str">
        <f t="shared" si="167"/>
        <v>-</v>
      </c>
      <c r="J965" s="254" t="str">
        <f t="shared" si="167"/>
        <v>-</v>
      </c>
      <c r="K965" s="254" t="str">
        <f t="shared" si="167"/>
        <v>-</v>
      </c>
      <c r="L965" s="254" t="str">
        <f t="shared" si="167"/>
        <v>-</v>
      </c>
      <c r="M965" s="254" t="str">
        <f t="shared" si="167"/>
        <v>-</v>
      </c>
      <c r="N965" s="255"/>
    </row>
    <row r="966" spans="1:14" s="256" customFormat="1" hidden="1" outlineLevel="2">
      <c r="A966" s="178"/>
      <c r="B966" s="257" t="s">
        <v>191</v>
      </c>
      <c r="C966" s="253" t="s">
        <v>172</v>
      </c>
      <c r="D966" s="173">
        <v>-1</v>
      </c>
      <c r="E966" s="252">
        <v>2</v>
      </c>
      <c r="F966" s="252"/>
      <c r="G966" s="254" t="str">
        <f t="shared" si="167"/>
        <v>-</v>
      </c>
      <c r="H966" s="254" t="str">
        <f t="shared" si="167"/>
        <v>-</v>
      </c>
      <c r="I966" s="254" t="str">
        <f t="shared" si="167"/>
        <v>-</v>
      </c>
      <c r="J966" s="254" t="str">
        <f t="shared" si="167"/>
        <v>-</v>
      </c>
      <c r="K966" s="254" t="str">
        <f t="shared" si="167"/>
        <v>-</v>
      </c>
      <c r="L966" s="254" t="str">
        <f t="shared" si="167"/>
        <v>-</v>
      </c>
      <c r="M966" s="254" t="str">
        <f t="shared" si="167"/>
        <v>-</v>
      </c>
      <c r="N966" s="255"/>
    </row>
    <row r="967" spans="1:14" s="256" customFormat="1" hidden="1" outlineLevel="2">
      <c r="A967" s="178"/>
      <c r="B967" s="257" t="s">
        <v>195</v>
      </c>
      <c r="C967" s="253" t="s">
        <v>172</v>
      </c>
      <c r="D967" s="173">
        <v>-1</v>
      </c>
      <c r="E967" s="252">
        <v>2.8</v>
      </c>
      <c r="F967" s="252"/>
      <c r="G967" s="254" t="str">
        <f t="shared" si="167"/>
        <v>-</v>
      </c>
      <c r="H967" s="254" t="str">
        <f t="shared" si="167"/>
        <v>-</v>
      </c>
      <c r="I967" s="254" t="str">
        <f t="shared" si="167"/>
        <v>-</v>
      </c>
      <c r="J967" s="254" t="str">
        <f t="shared" si="167"/>
        <v>-</v>
      </c>
      <c r="K967" s="254" t="str">
        <f t="shared" si="167"/>
        <v>-</v>
      </c>
      <c r="L967" s="254" t="str">
        <f t="shared" si="167"/>
        <v>-</v>
      </c>
      <c r="M967" s="254" t="str">
        <f t="shared" si="167"/>
        <v>-</v>
      </c>
      <c r="N967" s="255"/>
    </row>
    <row r="968" spans="1:14" s="256" customFormat="1" hidden="1" outlineLevel="2">
      <c r="A968" s="178"/>
      <c r="B968" s="252" t="s">
        <v>198</v>
      </c>
      <c r="C968" s="253" t="s">
        <v>174</v>
      </c>
      <c r="D968" s="173">
        <v>1</v>
      </c>
      <c r="E968" s="252">
        <v>12</v>
      </c>
      <c r="F968" s="252">
        <v>2.2999999999999998</v>
      </c>
      <c r="G968" s="254" t="str">
        <f t="shared" si="167"/>
        <v>-</v>
      </c>
      <c r="H968" s="254" t="str">
        <f t="shared" si="167"/>
        <v>-</v>
      </c>
      <c r="I968" s="254" t="str">
        <f t="shared" si="167"/>
        <v>-</v>
      </c>
      <c r="J968" s="254" t="str">
        <f t="shared" si="167"/>
        <v>-</v>
      </c>
      <c r="K968" s="254" t="str">
        <f t="shared" si="167"/>
        <v>-</v>
      </c>
      <c r="L968" s="254" t="str">
        <f t="shared" si="167"/>
        <v>-</v>
      </c>
      <c r="M968" s="254" t="str">
        <f t="shared" si="167"/>
        <v>-</v>
      </c>
      <c r="N968" s="255"/>
    </row>
    <row r="969" spans="1:14" s="256" customFormat="1" hidden="1" outlineLevel="2">
      <c r="A969" s="178"/>
      <c r="B969" s="257" t="s">
        <v>191</v>
      </c>
      <c r="C969" s="253" t="s">
        <v>174</v>
      </c>
      <c r="D969" s="173">
        <v>-1</v>
      </c>
      <c r="E969" s="252">
        <v>0.8</v>
      </c>
      <c r="F969" s="252">
        <v>2.2000000000000002</v>
      </c>
      <c r="G969" s="254" t="str">
        <f t="shared" si="167"/>
        <v>-</v>
      </c>
      <c r="H969" s="254" t="str">
        <f t="shared" si="167"/>
        <v>-</v>
      </c>
      <c r="I969" s="254" t="str">
        <f t="shared" si="167"/>
        <v>-</v>
      </c>
      <c r="J969" s="254" t="str">
        <f t="shared" si="167"/>
        <v>-</v>
      </c>
      <c r="K969" s="254" t="str">
        <f t="shared" si="167"/>
        <v>-</v>
      </c>
      <c r="L969" s="254" t="str">
        <f t="shared" si="167"/>
        <v>-</v>
      </c>
      <c r="M969" s="254" t="str">
        <f t="shared" si="167"/>
        <v>-</v>
      </c>
      <c r="N969" s="255"/>
    </row>
    <row r="970" spans="1:14" s="256" customFormat="1" hidden="1" outlineLevel="2">
      <c r="A970" s="178"/>
      <c r="B970" s="257" t="s">
        <v>199</v>
      </c>
      <c r="C970" s="253" t="s">
        <v>174</v>
      </c>
      <c r="D970" s="173">
        <v>-1</v>
      </c>
      <c r="E970" s="252">
        <v>1.7</v>
      </c>
      <c r="F970" s="252">
        <v>1.7</v>
      </c>
      <c r="G970" s="254" t="str">
        <f t="shared" si="167"/>
        <v>-</v>
      </c>
      <c r="H970" s="254" t="str">
        <f t="shared" si="167"/>
        <v>-</v>
      </c>
      <c r="I970" s="254" t="str">
        <f t="shared" si="167"/>
        <v>-</v>
      </c>
      <c r="J970" s="254" t="str">
        <f t="shared" si="167"/>
        <v>-</v>
      </c>
      <c r="K970" s="254" t="str">
        <f t="shared" si="167"/>
        <v>-</v>
      </c>
      <c r="L970" s="254" t="str">
        <f t="shared" si="167"/>
        <v>-</v>
      </c>
      <c r="M970" s="254" t="str">
        <f t="shared" si="167"/>
        <v>-</v>
      </c>
      <c r="N970" s="255"/>
    </row>
    <row r="971" spans="1:14" s="256" customFormat="1" hidden="1" outlineLevel="2">
      <c r="A971" s="178"/>
      <c r="B971" s="257" t="s">
        <v>200</v>
      </c>
      <c r="C971" s="253" t="s">
        <v>174</v>
      </c>
      <c r="D971" s="173">
        <v>-2</v>
      </c>
      <c r="E971" s="252">
        <v>0.85</v>
      </c>
      <c r="F971" s="252">
        <v>0.55000000000000004</v>
      </c>
      <c r="G971" s="254" t="str">
        <f t="shared" si="167"/>
        <v>-</v>
      </c>
      <c r="H971" s="254" t="str">
        <f t="shared" si="167"/>
        <v>-</v>
      </c>
      <c r="I971" s="254" t="str">
        <f t="shared" si="167"/>
        <v>-</v>
      </c>
      <c r="J971" s="254" t="str">
        <f t="shared" si="167"/>
        <v>-</v>
      </c>
      <c r="K971" s="254" t="str">
        <f t="shared" si="167"/>
        <v>-</v>
      </c>
      <c r="L971" s="254" t="str">
        <f t="shared" si="167"/>
        <v>-</v>
      </c>
      <c r="M971" s="254" t="str">
        <f t="shared" si="167"/>
        <v>-</v>
      </c>
      <c r="N971" s="255"/>
    </row>
    <row r="972" spans="1:14" s="256" customFormat="1" hidden="1" outlineLevel="2">
      <c r="A972" s="178"/>
      <c r="B972" s="258" t="s">
        <v>201</v>
      </c>
      <c r="C972" s="253" t="s">
        <v>174</v>
      </c>
      <c r="D972" s="173">
        <v>1</v>
      </c>
      <c r="E972" s="252">
        <v>2</v>
      </c>
      <c r="F972" s="252">
        <v>0.25</v>
      </c>
      <c r="G972" s="254" t="str">
        <f t="shared" si="167"/>
        <v>-</v>
      </c>
      <c r="H972" s="254" t="str">
        <f t="shared" si="167"/>
        <v>-</v>
      </c>
      <c r="I972" s="254" t="str">
        <f t="shared" si="167"/>
        <v>-</v>
      </c>
      <c r="J972" s="254" t="str">
        <f t="shared" si="167"/>
        <v>-</v>
      </c>
      <c r="K972" s="254" t="str">
        <f t="shared" si="167"/>
        <v>-</v>
      </c>
      <c r="L972" s="254" t="str">
        <f t="shared" si="167"/>
        <v>-</v>
      </c>
      <c r="M972" s="254" t="str">
        <f t="shared" si="167"/>
        <v>-</v>
      </c>
      <c r="N972" s="255"/>
    </row>
    <row r="973" spans="1:14" s="256" customFormat="1" hidden="1" outlineLevel="2">
      <c r="A973" s="178"/>
      <c r="B973" s="252" t="s">
        <v>196</v>
      </c>
      <c r="C973" s="253" t="s">
        <v>173</v>
      </c>
      <c r="D973" s="173">
        <v>1</v>
      </c>
      <c r="E973" s="252">
        <f>4.5-0.18</f>
        <v>4.32</v>
      </c>
      <c r="F973" s="252">
        <v>5</v>
      </c>
      <c r="G973" s="254" t="str">
        <f t="shared" si="167"/>
        <v>-</v>
      </c>
      <c r="H973" s="254" t="str">
        <f t="shared" si="167"/>
        <v>-</v>
      </c>
      <c r="I973" s="254">
        <f t="shared" si="167"/>
        <v>21.6</v>
      </c>
      <c r="J973" s="254" t="str">
        <f t="shared" si="167"/>
        <v>-</v>
      </c>
      <c r="K973" s="254" t="str">
        <f t="shared" si="167"/>
        <v>-</v>
      </c>
      <c r="L973" s="254" t="str">
        <f t="shared" si="167"/>
        <v>-</v>
      </c>
      <c r="M973" s="254" t="str">
        <f t="shared" si="167"/>
        <v>-</v>
      </c>
      <c r="N973" s="255"/>
    </row>
    <row r="974" spans="1:14" s="256" customFormat="1" hidden="1" outlineLevel="2">
      <c r="A974" s="178"/>
      <c r="B974" s="252" t="s">
        <v>197</v>
      </c>
      <c r="C974" s="253" t="s">
        <v>175</v>
      </c>
      <c r="D974" s="173">
        <v>1</v>
      </c>
      <c r="E974" s="252">
        <f>0.3*0.6*2</f>
        <v>0.36</v>
      </c>
      <c r="F974" s="252"/>
      <c r="G974" s="254" t="str">
        <f t="shared" si="167"/>
        <v>-</v>
      </c>
      <c r="H974" s="254" t="str">
        <f t="shared" si="167"/>
        <v>-</v>
      </c>
      <c r="I974" s="254" t="str">
        <f t="shared" si="167"/>
        <v>-</v>
      </c>
      <c r="J974" s="254">
        <f t="shared" si="167"/>
        <v>0.36</v>
      </c>
      <c r="K974" s="254" t="str">
        <f t="shared" si="167"/>
        <v>-</v>
      </c>
      <c r="L974" s="254" t="str">
        <f t="shared" si="167"/>
        <v>-</v>
      </c>
      <c r="M974" s="254" t="str">
        <f t="shared" si="167"/>
        <v>-</v>
      </c>
      <c r="N974" s="255"/>
    </row>
    <row r="975" spans="1:14" s="256" customFormat="1" hidden="1" outlineLevel="2">
      <c r="A975" s="178"/>
      <c r="B975" s="252" t="s">
        <v>202</v>
      </c>
      <c r="C975" s="253" t="s">
        <v>176</v>
      </c>
      <c r="D975" s="173">
        <v>1</v>
      </c>
      <c r="E975" s="252">
        <v>2</v>
      </c>
      <c r="F975" s="252">
        <v>0.9</v>
      </c>
      <c r="G975" s="254" t="str">
        <f t="shared" si="167"/>
        <v>-</v>
      </c>
      <c r="H975" s="254" t="str">
        <f t="shared" si="167"/>
        <v>-</v>
      </c>
      <c r="I975" s="254" t="str">
        <f t="shared" si="167"/>
        <v>-</v>
      </c>
      <c r="J975" s="254" t="str">
        <f t="shared" si="167"/>
        <v>-</v>
      </c>
      <c r="K975" s="254" t="str">
        <f t="shared" si="167"/>
        <v>-</v>
      </c>
      <c r="L975" s="254" t="str">
        <f t="shared" si="167"/>
        <v>-</v>
      </c>
      <c r="M975" s="254" t="str">
        <f t="shared" si="167"/>
        <v>-</v>
      </c>
      <c r="N975" s="255"/>
    </row>
    <row r="976" spans="1:14" s="256" customFormat="1" hidden="1" outlineLevel="2">
      <c r="A976" s="178"/>
      <c r="B976" s="257" t="s">
        <v>203</v>
      </c>
      <c r="C976" s="253" t="s">
        <v>176</v>
      </c>
      <c r="D976" s="173">
        <v>-1</v>
      </c>
      <c r="E976" s="252">
        <v>1.65</v>
      </c>
      <c r="F976" s="252">
        <v>0.7</v>
      </c>
      <c r="G976" s="254" t="str">
        <f t="shared" ref="G976:M977" si="168">IF($C976=G$5,PRODUCT($D976:$F976),"-")</f>
        <v>-</v>
      </c>
      <c r="H976" s="254" t="str">
        <f t="shared" si="168"/>
        <v>-</v>
      </c>
      <c r="I976" s="254" t="str">
        <f t="shared" si="168"/>
        <v>-</v>
      </c>
      <c r="J976" s="254" t="str">
        <f t="shared" si="168"/>
        <v>-</v>
      </c>
      <c r="K976" s="254" t="str">
        <f t="shared" si="168"/>
        <v>-</v>
      </c>
      <c r="L976" s="254" t="str">
        <f t="shared" si="168"/>
        <v>-</v>
      </c>
      <c r="M976" s="254" t="str">
        <f t="shared" si="168"/>
        <v>-</v>
      </c>
      <c r="N976" s="255"/>
    </row>
    <row r="977" spans="1:14" s="256" customFormat="1" hidden="1" outlineLevel="2">
      <c r="A977" s="259"/>
      <c r="B977" s="252"/>
      <c r="C977" s="253"/>
      <c r="D977" s="173"/>
      <c r="E977" s="252"/>
      <c r="F977" s="252"/>
      <c r="G977" s="254" t="str">
        <f t="shared" si="168"/>
        <v>-</v>
      </c>
      <c r="H977" s="254" t="str">
        <f t="shared" si="168"/>
        <v>-</v>
      </c>
      <c r="I977" s="254" t="str">
        <f t="shared" si="168"/>
        <v>-</v>
      </c>
      <c r="J977" s="254" t="str">
        <f t="shared" si="168"/>
        <v>-</v>
      </c>
      <c r="K977" s="254" t="str">
        <f t="shared" si="168"/>
        <v>-</v>
      </c>
      <c r="L977" s="254" t="str">
        <f t="shared" si="168"/>
        <v>-</v>
      </c>
      <c r="M977" s="254" t="str">
        <f t="shared" si="168"/>
        <v>-</v>
      </c>
      <c r="N977" s="255"/>
    </row>
    <row r="978" spans="1:14" s="251" customFormat="1" ht="15" hidden="1" outlineLevel="1" collapsed="1">
      <c r="A978" s="245"/>
      <c r="B978" s="246" t="s">
        <v>210</v>
      </c>
      <c r="C978" s="245"/>
      <c r="D978" s="247">
        <v>1</v>
      </c>
      <c r="E978" s="248"/>
      <c r="F978" s="248"/>
      <c r="G978" s="249">
        <f t="shared" ref="G978:M978" si="169">SUBTOTAL(9,G979:G996)</f>
        <v>20.8</v>
      </c>
      <c r="H978" s="249">
        <f t="shared" si="169"/>
        <v>5.7</v>
      </c>
      <c r="I978" s="249">
        <f t="shared" si="169"/>
        <v>4.04</v>
      </c>
      <c r="J978" s="249">
        <f t="shared" si="169"/>
        <v>0.36</v>
      </c>
      <c r="K978" s="249">
        <f t="shared" si="169"/>
        <v>0</v>
      </c>
      <c r="L978" s="249">
        <f t="shared" si="169"/>
        <v>0</v>
      </c>
      <c r="M978" s="249">
        <f t="shared" si="169"/>
        <v>0</v>
      </c>
      <c r="N978" s="250"/>
    </row>
    <row r="979" spans="1:14" s="256" customFormat="1" hidden="1" outlineLevel="2">
      <c r="A979" s="178"/>
      <c r="B979" s="252" t="s">
        <v>189</v>
      </c>
      <c r="C979" s="253" t="s">
        <v>169</v>
      </c>
      <c r="D979" s="173">
        <v>1</v>
      </c>
      <c r="E979" s="252">
        <v>20.8</v>
      </c>
      <c r="F979" s="252"/>
      <c r="G979" s="254">
        <f t="shared" ref="G979:M1003" si="170">IF($C979=G$5,PRODUCT($D979:$F979),"-")</f>
        <v>20.8</v>
      </c>
      <c r="H979" s="254" t="str">
        <f t="shared" si="170"/>
        <v>-</v>
      </c>
      <c r="I979" s="254" t="str">
        <f t="shared" si="170"/>
        <v>-</v>
      </c>
      <c r="J979" s="254" t="str">
        <f t="shared" si="170"/>
        <v>-</v>
      </c>
      <c r="K979" s="254" t="str">
        <f t="shared" si="170"/>
        <v>-</v>
      </c>
      <c r="L979" s="254" t="str">
        <f t="shared" si="170"/>
        <v>-</v>
      </c>
      <c r="M979" s="254" t="str">
        <f t="shared" si="170"/>
        <v>-</v>
      </c>
      <c r="N979" s="255"/>
    </row>
    <row r="980" spans="1:14" s="256" customFormat="1" hidden="1" outlineLevel="2">
      <c r="A980" s="178"/>
      <c r="B980" s="252" t="s">
        <v>190</v>
      </c>
      <c r="C980" s="253" t="s">
        <v>170</v>
      </c>
      <c r="D980" s="173">
        <v>1</v>
      </c>
      <c r="E980" s="252">
        <v>19.399999999999999</v>
      </c>
      <c r="F980" s="252"/>
      <c r="G980" s="254" t="str">
        <f t="shared" si="170"/>
        <v>-</v>
      </c>
      <c r="H980" s="254" t="str">
        <f t="shared" si="170"/>
        <v>-</v>
      </c>
      <c r="I980" s="254" t="str">
        <f t="shared" si="170"/>
        <v>-</v>
      </c>
      <c r="J980" s="254" t="str">
        <f t="shared" si="170"/>
        <v>-</v>
      </c>
      <c r="K980" s="254" t="str">
        <f t="shared" si="170"/>
        <v>-</v>
      </c>
      <c r="L980" s="254" t="str">
        <f t="shared" si="170"/>
        <v>-</v>
      </c>
      <c r="M980" s="254" t="str">
        <f t="shared" si="170"/>
        <v>-</v>
      </c>
      <c r="N980" s="255"/>
    </row>
    <row r="981" spans="1:14" s="256" customFormat="1" hidden="1" outlineLevel="2">
      <c r="A981" s="178"/>
      <c r="B981" s="257" t="s">
        <v>191</v>
      </c>
      <c r="C981" s="253" t="s">
        <v>170</v>
      </c>
      <c r="D981" s="173">
        <v>-1</v>
      </c>
      <c r="E981" s="252">
        <v>1.2</v>
      </c>
      <c r="F981" s="252"/>
      <c r="G981" s="254" t="str">
        <f t="shared" si="170"/>
        <v>-</v>
      </c>
      <c r="H981" s="254" t="str">
        <f t="shared" si="170"/>
        <v>-</v>
      </c>
      <c r="I981" s="254" t="str">
        <f t="shared" si="170"/>
        <v>-</v>
      </c>
      <c r="J981" s="254" t="str">
        <f t="shared" si="170"/>
        <v>-</v>
      </c>
      <c r="K981" s="254" t="str">
        <f t="shared" si="170"/>
        <v>-</v>
      </c>
      <c r="L981" s="254" t="str">
        <f t="shared" si="170"/>
        <v>-</v>
      </c>
      <c r="M981" s="254" t="str">
        <f t="shared" si="170"/>
        <v>-</v>
      </c>
      <c r="N981" s="255"/>
    </row>
    <row r="982" spans="1:14" s="256" customFormat="1" hidden="1" outlineLevel="2">
      <c r="A982" s="178"/>
      <c r="B982" s="257" t="s">
        <v>192</v>
      </c>
      <c r="C982" s="253" t="s">
        <v>170</v>
      </c>
      <c r="D982" s="173">
        <v>-1</v>
      </c>
      <c r="E982" s="252">
        <v>3.2</v>
      </c>
      <c r="F982" s="252"/>
      <c r="G982" s="254" t="str">
        <f t="shared" si="170"/>
        <v>-</v>
      </c>
      <c r="H982" s="254" t="str">
        <f t="shared" si="170"/>
        <v>-</v>
      </c>
      <c r="I982" s="254" t="str">
        <f t="shared" si="170"/>
        <v>-</v>
      </c>
      <c r="J982" s="254" t="str">
        <f t="shared" si="170"/>
        <v>-</v>
      </c>
      <c r="K982" s="254" t="str">
        <f t="shared" si="170"/>
        <v>-</v>
      </c>
      <c r="L982" s="254" t="str">
        <f t="shared" si="170"/>
        <v>-</v>
      </c>
      <c r="M982" s="254" t="str">
        <f t="shared" si="170"/>
        <v>-</v>
      </c>
      <c r="N982" s="255"/>
    </row>
    <row r="983" spans="1:14" s="256" customFormat="1" hidden="1" outlineLevel="2">
      <c r="A983" s="178"/>
      <c r="B983" s="252" t="s">
        <v>193</v>
      </c>
      <c r="C983" s="253" t="s">
        <v>171</v>
      </c>
      <c r="D983" s="173">
        <v>1</v>
      </c>
      <c r="E983" s="252">
        <v>5.7</v>
      </c>
      <c r="F983" s="252"/>
      <c r="G983" s="254" t="str">
        <f t="shared" si="170"/>
        <v>-</v>
      </c>
      <c r="H983" s="254">
        <f t="shared" si="170"/>
        <v>5.7</v>
      </c>
      <c r="I983" s="254" t="str">
        <f t="shared" si="170"/>
        <v>-</v>
      </c>
      <c r="J983" s="254" t="str">
        <f t="shared" si="170"/>
        <v>-</v>
      </c>
      <c r="K983" s="254" t="str">
        <f t="shared" si="170"/>
        <v>-</v>
      </c>
      <c r="L983" s="254" t="str">
        <f t="shared" si="170"/>
        <v>-</v>
      </c>
      <c r="M983" s="254" t="str">
        <f t="shared" si="170"/>
        <v>-</v>
      </c>
      <c r="N983" s="255"/>
    </row>
    <row r="984" spans="1:14" s="256" customFormat="1" hidden="1" outlineLevel="2">
      <c r="A984" s="178"/>
      <c r="B984" s="252" t="s">
        <v>194</v>
      </c>
      <c r="C984" s="253" t="s">
        <v>172</v>
      </c>
      <c r="D984" s="173">
        <v>1</v>
      </c>
      <c r="E984" s="252">
        <v>11.3</v>
      </c>
      <c r="F984" s="252"/>
      <c r="G984" s="254" t="str">
        <f t="shared" si="170"/>
        <v>-</v>
      </c>
      <c r="H984" s="254" t="str">
        <f t="shared" si="170"/>
        <v>-</v>
      </c>
      <c r="I984" s="254" t="str">
        <f t="shared" si="170"/>
        <v>-</v>
      </c>
      <c r="J984" s="254" t="str">
        <f t="shared" si="170"/>
        <v>-</v>
      </c>
      <c r="K984" s="254" t="str">
        <f t="shared" si="170"/>
        <v>-</v>
      </c>
      <c r="L984" s="254" t="str">
        <f t="shared" si="170"/>
        <v>-</v>
      </c>
      <c r="M984" s="254" t="str">
        <f t="shared" si="170"/>
        <v>-</v>
      </c>
      <c r="N984" s="255"/>
    </row>
    <row r="985" spans="1:14" s="256" customFormat="1" hidden="1" outlineLevel="2">
      <c r="A985" s="178"/>
      <c r="B985" s="257" t="s">
        <v>191</v>
      </c>
      <c r="C985" s="253" t="s">
        <v>172</v>
      </c>
      <c r="D985" s="173">
        <v>-1</v>
      </c>
      <c r="E985" s="252">
        <f>1.2+0.8*2</f>
        <v>2.8</v>
      </c>
      <c r="F985" s="252"/>
      <c r="G985" s="254" t="str">
        <f t="shared" si="170"/>
        <v>-</v>
      </c>
      <c r="H985" s="254" t="str">
        <f t="shared" si="170"/>
        <v>-</v>
      </c>
      <c r="I985" s="254" t="str">
        <f t="shared" si="170"/>
        <v>-</v>
      </c>
      <c r="J985" s="254" t="str">
        <f t="shared" si="170"/>
        <v>-</v>
      </c>
      <c r="K985" s="254" t="str">
        <f t="shared" si="170"/>
        <v>-</v>
      </c>
      <c r="L985" s="254" t="str">
        <f t="shared" si="170"/>
        <v>-</v>
      </c>
      <c r="M985" s="254" t="str">
        <f t="shared" si="170"/>
        <v>-</v>
      </c>
      <c r="N985" s="255"/>
    </row>
    <row r="986" spans="1:14" s="256" customFormat="1" hidden="1" outlineLevel="2">
      <c r="A986" s="178"/>
      <c r="B986" s="257" t="s">
        <v>195</v>
      </c>
      <c r="C986" s="253" t="s">
        <v>172</v>
      </c>
      <c r="D986" s="173">
        <v>-1</v>
      </c>
      <c r="E986" s="252">
        <v>2.6</v>
      </c>
      <c r="F986" s="252"/>
      <c r="G986" s="254" t="str">
        <f t="shared" si="170"/>
        <v>-</v>
      </c>
      <c r="H986" s="254" t="str">
        <f t="shared" si="170"/>
        <v>-</v>
      </c>
      <c r="I986" s="254" t="str">
        <f t="shared" si="170"/>
        <v>-</v>
      </c>
      <c r="J986" s="254" t="str">
        <f t="shared" si="170"/>
        <v>-</v>
      </c>
      <c r="K986" s="254" t="str">
        <f t="shared" si="170"/>
        <v>-</v>
      </c>
      <c r="L986" s="254" t="str">
        <f t="shared" si="170"/>
        <v>-</v>
      </c>
      <c r="M986" s="254" t="str">
        <f t="shared" si="170"/>
        <v>-</v>
      </c>
      <c r="N986" s="255"/>
    </row>
    <row r="987" spans="1:14" s="256" customFormat="1" hidden="1" outlineLevel="2">
      <c r="A987" s="178"/>
      <c r="B987" s="252" t="s">
        <v>196</v>
      </c>
      <c r="C987" s="253" t="s">
        <v>173</v>
      </c>
      <c r="D987" s="173">
        <v>1</v>
      </c>
      <c r="E987" s="252">
        <f>4.4-0.36</f>
        <v>4.04</v>
      </c>
      <c r="F987" s="252"/>
      <c r="G987" s="254" t="str">
        <f t="shared" si="170"/>
        <v>-</v>
      </c>
      <c r="H987" s="254" t="str">
        <f t="shared" si="170"/>
        <v>-</v>
      </c>
      <c r="I987" s="254">
        <f t="shared" si="170"/>
        <v>4.04</v>
      </c>
      <c r="J987" s="254" t="str">
        <f t="shared" si="170"/>
        <v>-</v>
      </c>
      <c r="K987" s="254" t="str">
        <f t="shared" si="170"/>
        <v>-</v>
      </c>
      <c r="L987" s="254" t="str">
        <f t="shared" si="170"/>
        <v>-</v>
      </c>
      <c r="M987" s="254" t="str">
        <f t="shared" si="170"/>
        <v>-</v>
      </c>
      <c r="N987" s="255"/>
    </row>
    <row r="988" spans="1:14" s="256" customFormat="1" hidden="1" outlineLevel="2">
      <c r="A988" s="178"/>
      <c r="B988" s="252" t="s">
        <v>197</v>
      </c>
      <c r="C988" s="253" t="s">
        <v>175</v>
      </c>
      <c r="D988" s="173">
        <v>1</v>
      </c>
      <c r="E988" s="252">
        <f>0.3*0.6*2</f>
        <v>0.36</v>
      </c>
      <c r="F988" s="252"/>
      <c r="G988" s="254" t="str">
        <f t="shared" si="170"/>
        <v>-</v>
      </c>
      <c r="H988" s="254" t="str">
        <f t="shared" si="170"/>
        <v>-</v>
      </c>
      <c r="I988" s="254" t="str">
        <f t="shared" si="170"/>
        <v>-</v>
      </c>
      <c r="J988" s="254">
        <f t="shared" si="170"/>
        <v>0.36</v>
      </c>
      <c r="K988" s="254" t="str">
        <f t="shared" si="170"/>
        <v>-</v>
      </c>
      <c r="L988" s="254" t="str">
        <f t="shared" si="170"/>
        <v>-</v>
      </c>
      <c r="M988" s="254" t="str">
        <f t="shared" si="170"/>
        <v>-</v>
      </c>
      <c r="N988" s="255"/>
    </row>
    <row r="989" spans="1:14" s="256" customFormat="1" hidden="1" outlineLevel="2">
      <c r="A989" s="178"/>
      <c r="B989" s="252" t="s">
        <v>198</v>
      </c>
      <c r="C989" s="253" t="s">
        <v>174</v>
      </c>
      <c r="D989" s="173">
        <v>1</v>
      </c>
      <c r="E989" s="252">
        <v>11.6</v>
      </c>
      <c r="F989" s="252">
        <v>2.2999999999999998</v>
      </c>
      <c r="G989" s="254" t="str">
        <f t="shared" si="170"/>
        <v>-</v>
      </c>
      <c r="H989" s="254" t="str">
        <f t="shared" si="170"/>
        <v>-</v>
      </c>
      <c r="I989" s="254" t="str">
        <f t="shared" si="170"/>
        <v>-</v>
      </c>
      <c r="J989" s="254" t="str">
        <f t="shared" si="170"/>
        <v>-</v>
      </c>
      <c r="K989" s="254" t="str">
        <f t="shared" si="170"/>
        <v>-</v>
      </c>
      <c r="L989" s="254" t="str">
        <f t="shared" si="170"/>
        <v>-</v>
      </c>
      <c r="M989" s="254" t="str">
        <f t="shared" si="170"/>
        <v>-</v>
      </c>
      <c r="N989" s="255"/>
    </row>
    <row r="990" spans="1:14" s="256" customFormat="1" hidden="1" outlineLevel="2">
      <c r="A990" s="178"/>
      <c r="B990" s="257" t="s">
        <v>191</v>
      </c>
      <c r="C990" s="253" t="s">
        <v>174</v>
      </c>
      <c r="D990" s="173">
        <v>-1</v>
      </c>
      <c r="E990" s="252">
        <v>0.8</v>
      </c>
      <c r="F990" s="252">
        <v>2.2200000000000002</v>
      </c>
      <c r="G990" s="254" t="str">
        <f t="shared" si="170"/>
        <v>-</v>
      </c>
      <c r="H990" s="254" t="str">
        <f t="shared" si="170"/>
        <v>-</v>
      </c>
      <c r="I990" s="254" t="str">
        <f t="shared" si="170"/>
        <v>-</v>
      </c>
      <c r="J990" s="254" t="str">
        <f t="shared" si="170"/>
        <v>-</v>
      </c>
      <c r="K990" s="254" t="str">
        <f t="shared" si="170"/>
        <v>-</v>
      </c>
      <c r="L990" s="254" t="str">
        <f t="shared" si="170"/>
        <v>-</v>
      </c>
      <c r="M990" s="254" t="str">
        <f t="shared" si="170"/>
        <v>-</v>
      </c>
      <c r="N990" s="255"/>
    </row>
    <row r="991" spans="1:14" s="256" customFormat="1" hidden="1" outlineLevel="2">
      <c r="A991" s="178"/>
      <c r="B991" s="257" t="s">
        <v>199</v>
      </c>
      <c r="C991" s="253" t="s">
        <v>174</v>
      </c>
      <c r="D991" s="173">
        <v>-1</v>
      </c>
      <c r="E991" s="252">
        <v>1.6</v>
      </c>
      <c r="F991" s="252">
        <v>1.7</v>
      </c>
      <c r="G991" s="254" t="str">
        <f t="shared" si="170"/>
        <v>-</v>
      </c>
      <c r="H991" s="254" t="str">
        <f t="shared" si="170"/>
        <v>-</v>
      </c>
      <c r="I991" s="254" t="str">
        <f t="shared" si="170"/>
        <v>-</v>
      </c>
      <c r="J991" s="254" t="str">
        <f t="shared" si="170"/>
        <v>-</v>
      </c>
      <c r="K991" s="254" t="str">
        <f t="shared" si="170"/>
        <v>-</v>
      </c>
      <c r="L991" s="254" t="str">
        <f t="shared" si="170"/>
        <v>-</v>
      </c>
      <c r="M991" s="254" t="str">
        <f t="shared" si="170"/>
        <v>-</v>
      </c>
      <c r="N991" s="255"/>
    </row>
    <row r="992" spans="1:14" s="256" customFormat="1" hidden="1" outlineLevel="2">
      <c r="A992" s="178"/>
      <c r="B992" s="257" t="s">
        <v>200</v>
      </c>
      <c r="C992" s="253" t="s">
        <v>174</v>
      </c>
      <c r="D992" s="173">
        <v>-2</v>
      </c>
      <c r="E992" s="252">
        <v>0.85</v>
      </c>
      <c r="F992" s="252">
        <v>0.55000000000000004</v>
      </c>
      <c r="G992" s="254" t="str">
        <f t="shared" si="170"/>
        <v>-</v>
      </c>
      <c r="H992" s="254" t="str">
        <f t="shared" si="170"/>
        <v>-</v>
      </c>
      <c r="I992" s="254" t="str">
        <f t="shared" si="170"/>
        <v>-</v>
      </c>
      <c r="J992" s="254" t="str">
        <f t="shared" si="170"/>
        <v>-</v>
      </c>
      <c r="K992" s="254" t="str">
        <f t="shared" si="170"/>
        <v>-</v>
      </c>
      <c r="L992" s="254" t="str">
        <f t="shared" si="170"/>
        <v>-</v>
      </c>
      <c r="M992" s="254" t="str">
        <f t="shared" si="170"/>
        <v>-</v>
      </c>
      <c r="N992" s="255"/>
    </row>
    <row r="993" spans="1:14" s="256" customFormat="1" hidden="1" outlineLevel="2">
      <c r="A993" s="178"/>
      <c r="B993" s="258" t="s">
        <v>201</v>
      </c>
      <c r="C993" s="253" t="s">
        <v>174</v>
      </c>
      <c r="D993" s="173">
        <v>1</v>
      </c>
      <c r="E993" s="252">
        <v>1.9</v>
      </c>
      <c r="F993" s="252">
        <v>0.25</v>
      </c>
      <c r="G993" s="254" t="str">
        <f t="shared" si="170"/>
        <v>-</v>
      </c>
      <c r="H993" s="254" t="str">
        <f t="shared" si="170"/>
        <v>-</v>
      </c>
      <c r="I993" s="254" t="str">
        <f t="shared" si="170"/>
        <v>-</v>
      </c>
      <c r="J993" s="254" t="str">
        <f t="shared" si="170"/>
        <v>-</v>
      </c>
      <c r="K993" s="254" t="str">
        <f t="shared" si="170"/>
        <v>-</v>
      </c>
      <c r="L993" s="254" t="str">
        <f t="shared" si="170"/>
        <v>-</v>
      </c>
      <c r="M993" s="254" t="str">
        <f t="shared" si="170"/>
        <v>-</v>
      </c>
      <c r="N993" s="255"/>
    </row>
    <row r="994" spans="1:14" s="256" customFormat="1" hidden="1" outlineLevel="2">
      <c r="A994" s="178"/>
      <c r="B994" s="252" t="s">
        <v>202</v>
      </c>
      <c r="C994" s="253" t="s">
        <v>176</v>
      </c>
      <c r="D994" s="173">
        <v>1</v>
      </c>
      <c r="E994" s="252">
        <v>1.9</v>
      </c>
      <c r="F994" s="252">
        <v>0.9</v>
      </c>
      <c r="G994" s="254" t="str">
        <f t="shared" si="170"/>
        <v>-</v>
      </c>
      <c r="H994" s="254" t="str">
        <f t="shared" si="170"/>
        <v>-</v>
      </c>
      <c r="I994" s="254" t="str">
        <f t="shared" si="170"/>
        <v>-</v>
      </c>
      <c r="J994" s="254" t="str">
        <f t="shared" si="170"/>
        <v>-</v>
      </c>
      <c r="K994" s="254" t="str">
        <f t="shared" si="170"/>
        <v>-</v>
      </c>
      <c r="L994" s="254" t="str">
        <f t="shared" si="170"/>
        <v>-</v>
      </c>
      <c r="M994" s="254" t="str">
        <f t="shared" si="170"/>
        <v>-</v>
      </c>
      <c r="N994" s="255"/>
    </row>
    <row r="995" spans="1:14" s="256" customFormat="1" hidden="1" outlineLevel="2">
      <c r="A995" s="178"/>
      <c r="B995" s="257" t="s">
        <v>203</v>
      </c>
      <c r="C995" s="253" t="s">
        <v>176</v>
      </c>
      <c r="D995" s="173">
        <v>-1</v>
      </c>
      <c r="E995" s="252">
        <v>1.65</v>
      </c>
      <c r="F995" s="252">
        <v>0.7</v>
      </c>
      <c r="G995" s="254" t="str">
        <f t="shared" si="170"/>
        <v>-</v>
      </c>
      <c r="H995" s="254" t="str">
        <f t="shared" si="170"/>
        <v>-</v>
      </c>
      <c r="I995" s="254" t="str">
        <f t="shared" si="170"/>
        <v>-</v>
      </c>
      <c r="J995" s="254" t="str">
        <f t="shared" si="170"/>
        <v>-</v>
      </c>
      <c r="K995" s="254" t="str">
        <f t="shared" si="170"/>
        <v>-</v>
      </c>
      <c r="L995" s="254" t="str">
        <f t="shared" si="170"/>
        <v>-</v>
      </c>
      <c r="M995" s="254" t="str">
        <f t="shared" si="170"/>
        <v>-</v>
      </c>
      <c r="N995" s="255"/>
    </row>
    <row r="996" spans="1:14" s="256" customFormat="1" hidden="1" outlineLevel="2">
      <c r="A996" s="259"/>
      <c r="B996" s="252"/>
      <c r="C996" s="253"/>
      <c r="D996" s="173"/>
      <c r="E996" s="252"/>
      <c r="F996" s="252"/>
      <c r="G996" s="254" t="str">
        <f t="shared" si="170"/>
        <v>-</v>
      </c>
      <c r="H996" s="254" t="str">
        <f t="shared" si="170"/>
        <v>-</v>
      </c>
      <c r="I996" s="254" t="str">
        <f t="shared" si="170"/>
        <v>-</v>
      </c>
      <c r="J996" s="254" t="str">
        <f t="shared" si="170"/>
        <v>-</v>
      </c>
      <c r="K996" s="254" t="str">
        <f t="shared" si="170"/>
        <v>-</v>
      </c>
      <c r="L996" s="254" t="str">
        <f t="shared" si="170"/>
        <v>-</v>
      </c>
      <c r="M996" s="254" t="str">
        <f t="shared" si="170"/>
        <v>-</v>
      </c>
      <c r="N996" s="255"/>
    </row>
    <row r="997" spans="1:14" s="251" customFormat="1" ht="15" hidden="1" outlineLevel="1" collapsed="1">
      <c r="A997" s="245"/>
      <c r="B997" s="246" t="s">
        <v>211</v>
      </c>
      <c r="C997" s="245"/>
      <c r="D997" s="247">
        <v>1</v>
      </c>
      <c r="E997" s="248"/>
      <c r="F997" s="248"/>
      <c r="G997" s="249">
        <f t="shared" ref="G997:M997" si="171">SUBTOTAL(9,G998:G1014)</f>
        <v>23.7</v>
      </c>
      <c r="H997" s="249">
        <f t="shared" si="171"/>
        <v>4.05</v>
      </c>
      <c r="I997" s="249">
        <f t="shared" si="171"/>
        <v>2.6</v>
      </c>
      <c r="J997" s="249">
        <f t="shared" si="171"/>
        <v>0</v>
      </c>
      <c r="K997" s="249">
        <f t="shared" si="171"/>
        <v>0</v>
      </c>
      <c r="L997" s="249">
        <f t="shared" si="171"/>
        <v>0</v>
      </c>
      <c r="M997" s="249">
        <f t="shared" si="171"/>
        <v>0</v>
      </c>
      <c r="N997" s="250"/>
    </row>
    <row r="998" spans="1:14" s="256" customFormat="1" hidden="1" outlineLevel="2">
      <c r="A998" s="178"/>
      <c r="B998" s="252" t="s">
        <v>189</v>
      </c>
      <c r="C998" s="253" t="s">
        <v>169</v>
      </c>
      <c r="D998" s="173">
        <v>1</v>
      </c>
      <c r="E998" s="252">
        <v>23.7</v>
      </c>
      <c r="F998" s="252"/>
      <c r="G998" s="254">
        <f t="shared" si="170"/>
        <v>23.7</v>
      </c>
      <c r="H998" s="254" t="str">
        <f t="shared" si="170"/>
        <v>-</v>
      </c>
      <c r="I998" s="254" t="str">
        <f t="shared" si="170"/>
        <v>-</v>
      </c>
      <c r="J998" s="254" t="str">
        <f t="shared" si="170"/>
        <v>-</v>
      </c>
      <c r="K998" s="254" t="str">
        <f t="shared" si="170"/>
        <v>-</v>
      </c>
      <c r="L998" s="254" t="str">
        <f t="shared" si="170"/>
        <v>-</v>
      </c>
      <c r="M998" s="254" t="str">
        <f t="shared" si="170"/>
        <v>-</v>
      </c>
      <c r="N998" s="255"/>
    </row>
    <row r="999" spans="1:14" s="256" customFormat="1" hidden="1" outlineLevel="2">
      <c r="A999" s="178"/>
      <c r="B999" s="252" t="s">
        <v>190</v>
      </c>
      <c r="C999" s="253" t="s">
        <v>170</v>
      </c>
      <c r="D999" s="173">
        <v>1</v>
      </c>
      <c r="E999" s="252">
        <v>20.9</v>
      </c>
      <c r="F999" s="252"/>
      <c r="G999" s="254" t="str">
        <f t="shared" si="170"/>
        <v>-</v>
      </c>
      <c r="H999" s="254" t="str">
        <f t="shared" si="170"/>
        <v>-</v>
      </c>
      <c r="I999" s="254" t="str">
        <f t="shared" si="170"/>
        <v>-</v>
      </c>
      <c r="J999" s="254" t="str">
        <f t="shared" si="170"/>
        <v>-</v>
      </c>
      <c r="K999" s="254" t="str">
        <f t="shared" si="170"/>
        <v>-</v>
      </c>
      <c r="L999" s="254" t="str">
        <f t="shared" si="170"/>
        <v>-</v>
      </c>
      <c r="M999" s="254" t="str">
        <f t="shared" si="170"/>
        <v>-</v>
      </c>
      <c r="N999" s="255"/>
    </row>
    <row r="1000" spans="1:14" s="256" customFormat="1" hidden="1" outlineLevel="2">
      <c r="A1000" s="178"/>
      <c r="B1000" s="257" t="s">
        <v>191</v>
      </c>
      <c r="C1000" s="253" t="s">
        <v>170</v>
      </c>
      <c r="D1000" s="173">
        <v>-1</v>
      </c>
      <c r="E1000" s="252">
        <v>1.2</v>
      </c>
      <c r="F1000" s="252"/>
      <c r="G1000" s="254" t="str">
        <f t="shared" si="170"/>
        <v>-</v>
      </c>
      <c r="H1000" s="254" t="str">
        <f t="shared" si="170"/>
        <v>-</v>
      </c>
      <c r="I1000" s="254" t="str">
        <f t="shared" si="170"/>
        <v>-</v>
      </c>
      <c r="J1000" s="254" t="str">
        <f t="shared" si="170"/>
        <v>-</v>
      </c>
      <c r="K1000" s="254" t="str">
        <f t="shared" si="170"/>
        <v>-</v>
      </c>
      <c r="L1000" s="254" t="str">
        <f t="shared" si="170"/>
        <v>-</v>
      </c>
      <c r="M1000" s="254" t="str">
        <f t="shared" si="170"/>
        <v>-</v>
      </c>
      <c r="N1000" s="255"/>
    </row>
    <row r="1001" spans="1:14" s="256" customFormat="1" hidden="1" outlineLevel="2">
      <c r="A1001" s="178"/>
      <c r="B1001" s="257" t="s">
        <v>192</v>
      </c>
      <c r="C1001" s="253" t="s">
        <v>170</v>
      </c>
      <c r="D1001" s="173">
        <v>-1</v>
      </c>
      <c r="E1001" s="252">
        <v>3.2</v>
      </c>
      <c r="F1001" s="252"/>
      <c r="G1001" s="254" t="str">
        <f t="shared" si="170"/>
        <v>-</v>
      </c>
      <c r="H1001" s="254" t="str">
        <f t="shared" si="170"/>
        <v>-</v>
      </c>
      <c r="I1001" s="254" t="str">
        <f t="shared" si="170"/>
        <v>-</v>
      </c>
      <c r="J1001" s="254" t="str">
        <f t="shared" si="170"/>
        <v>-</v>
      </c>
      <c r="K1001" s="254" t="str">
        <f t="shared" si="170"/>
        <v>-</v>
      </c>
      <c r="L1001" s="254" t="str">
        <f t="shared" si="170"/>
        <v>-</v>
      </c>
      <c r="M1001" s="254" t="str">
        <f t="shared" si="170"/>
        <v>-</v>
      </c>
      <c r="N1001" s="255"/>
    </row>
    <row r="1002" spans="1:14" s="256" customFormat="1" hidden="1" outlineLevel="2">
      <c r="A1002" s="178"/>
      <c r="B1002" s="252" t="s">
        <v>193</v>
      </c>
      <c r="C1002" s="253" t="s">
        <v>171</v>
      </c>
      <c r="D1002" s="173">
        <v>1</v>
      </c>
      <c r="E1002" s="252">
        <v>4.05</v>
      </c>
      <c r="F1002" s="252"/>
      <c r="G1002" s="254" t="str">
        <f t="shared" si="170"/>
        <v>-</v>
      </c>
      <c r="H1002" s="254">
        <f t="shared" si="170"/>
        <v>4.05</v>
      </c>
      <c r="I1002" s="254" t="str">
        <f t="shared" si="170"/>
        <v>-</v>
      </c>
      <c r="J1002" s="254" t="str">
        <f t="shared" si="170"/>
        <v>-</v>
      </c>
      <c r="K1002" s="254" t="str">
        <f t="shared" si="170"/>
        <v>-</v>
      </c>
      <c r="L1002" s="254" t="str">
        <f t="shared" si="170"/>
        <v>-</v>
      </c>
      <c r="M1002" s="254" t="str">
        <f t="shared" si="170"/>
        <v>-</v>
      </c>
      <c r="N1002" s="255"/>
    </row>
    <row r="1003" spans="1:14" s="256" customFormat="1" hidden="1" outlineLevel="2">
      <c r="A1003" s="178"/>
      <c r="B1003" s="252" t="s">
        <v>194</v>
      </c>
      <c r="C1003" s="253" t="s">
        <v>172</v>
      </c>
      <c r="D1003" s="173">
        <v>1</v>
      </c>
      <c r="E1003" s="252">
        <v>9.4</v>
      </c>
      <c r="F1003" s="252"/>
      <c r="G1003" s="254" t="str">
        <f t="shared" si="170"/>
        <v>-</v>
      </c>
      <c r="H1003" s="254" t="str">
        <f t="shared" ref="H1003:M1003" si="172">IF($C1003=H$5,PRODUCT($D1003:$F1003),"-")</f>
        <v>-</v>
      </c>
      <c r="I1003" s="254" t="str">
        <f t="shared" si="172"/>
        <v>-</v>
      </c>
      <c r="J1003" s="254" t="str">
        <f t="shared" si="172"/>
        <v>-</v>
      </c>
      <c r="K1003" s="254" t="str">
        <f t="shared" si="172"/>
        <v>-</v>
      </c>
      <c r="L1003" s="254" t="str">
        <f t="shared" si="172"/>
        <v>-</v>
      </c>
      <c r="M1003" s="254" t="str">
        <f t="shared" si="172"/>
        <v>-</v>
      </c>
      <c r="N1003" s="255"/>
    </row>
    <row r="1004" spans="1:14" s="256" customFormat="1" hidden="1" outlineLevel="2">
      <c r="A1004" s="178"/>
      <c r="B1004" s="257" t="s">
        <v>191</v>
      </c>
      <c r="C1004" s="253" t="s">
        <v>172</v>
      </c>
      <c r="D1004" s="173">
        <v>-1</v>
      </c>
      <c r="E1004" s="252">
        <f>1.2+0.8*2</f>
        <v>2.8</v>
      </c>
      <c r="F1004" s="252"/>
      <c r="G1004" s="254" t="str">
        <f t="shared" ref="G1004:M1014" si="173">IF($C1004=G$5,PRODUCT($D1004:$F1004),"-")</f>
        <v>-</v>
      </c>
      <c r="H1004" s="254" t="str">
        <f t="shared" si="173"/>
        <v>-</v>
      </c>
      <c r="I1004" s="254" t="str">
        <f t="shared" si="173"/>
        <v>-</v>
      </c>
      <c r="J1004" s="254" t="str">
        <f t="shared" si="173"/>
        <v>-</v>
      </c>
      <c r="K1004" s="254" t="str">
        <f t="shared" si="173"/>
        <v>-</v>
      </c>
      <c r="L1004" s="254" t="str">
        <f t="shared" si="173"/>
        <v>-</v>
      </c>
      <c r="M1004" s="254" t="str">
        <f t="shared" si="173"/>
        <v>-</v>
      </c>
      <c r="N1004" s="255"/>
    </row>
    <row r="1005" spans="1:14" s="256" customFormat="1" hidden="1" outlineLevel="2">
      <c r="A1005" s="178"/>
      <c r="B1005" s="257" t="s">
        <v>195</v>
      </c>
      <c r="C1005" s="253" t="s">
        <v>172</v>
      </c>
      <c r="D1005" s="173">
        <v>-1</v>
      </c>
      <c r="E1005" s="252">
        <v>2</v>
      </c>
      <c r="F1005" s="252"/>
      <c r="G1005" s="254" t="str">
        <f t="shared" si="173"/>
        <v>-</v>
      </c>
      <c r="H1005" s="254" t="str">
        <f t="shared" si="173"/>
        <v>-</v>
      </c>
      <c r="I1005" s="254" t="str">
        <f t="shared" si="173"/>
        <v>-</v>
      </c>
      <c r="J1005" s="254" t="str">
        <f t="shared" si="173"/>
        <v>-</v>
      </c>
      <c r="K1005" s="254" t="str">
        <f t="shared" si="173"/>
        <v>-</v>
      </c>
      <c r="L1005" s="254" t="str">
        <f t="shared" si="173"/>
        <v>-</v>
      </c>
      <c r="M1005" s="254" t="str">
        <f t="shared" si="173"/>
        <v>-</v>
      </c>
      <c r="N1005" s="255"/>
    </row>
    <row r="1006" spans="1:14" s="256" customFormat="1" hidden="1" outlineLevel="2">
      <c r="A1006" s="178"/>
      <c r="B1006" s="252" t="s">
        <v>196</v>
      </c>
      <c r="C1006" s="253" t="s">
        <v>173</v>
      </c>
      <c r="D1006" s="173">
        <v>1</v>
      </c>
      <c r="E1006" s="252">
        <v>2.6</v>
      </c>
      <c r="F1006" s="252"/>
      <c r="G1006" s="254" t="str">
        <f t="shared" si="173"/>
        <v>-</v>
      </c>
      <c r="H1006" s="254" t="str">
        <f t="shared" si="173"/>
        <v>-</v>
      </c>
      <c r="I1006" s="254">
        <f t="shared" si="173"/>
        <v>2.6</v>
      </c>
      <c r="J1006" s="254" t="str">
        <f t="shared" si="173"/>
        <v>-</v>
      </c>
      <c r="K1006" s="254" t="str">
        <f t="shared" si="173"/>
        <v>-</v>
      </c>
      <c r="L1006" s="254" t="str">
        <f t="shared" si="173"/>
        <v>-</v>
      </c>
      <c r="M1006" s="254" t="str">
        <f t="shared" si="173"/>
        <v>-</v>
      </c>
      <c r="N1006" s="255"/>
    </row>
    <row r="1007" spans="1:14" s="256" customFormat="1" hidden="1" outlineLevel="2">
      <c r="A1007" s="178"/>
      <c r="B1007" s="252" t="s">
        <v>198</v>
      </c>
      <c r="C1007" s="253" t="s">
        <v>174</v>
      </c>
      <c r="D1007" s="173">
        <v>1</v>
      </c>
      <c r="E1007" s="252">
        <v>10.7</v>
      </c>
      <c r="F1007" s="252">
        <v>2.2999999999999998</v>
      </c>
      <c r="G1007" s="254" t="str">
        <f t="shared" si="173"/>
        <v>-</v>
      </c>
      <c r="H1007" s="254" t="str">
        <f t="shared" si="173"/>
        <v>-</v>
      </c>
      <c r="I1007" s="254" t="str">
        <f t="shared" si="173"/>
        <v>-</v>
      </c>
      <c r="J1007" s="254" t="str">
        <f t="shared" si="173"/>
        <v>-</v>
      </c>
      <c r="K1007" s="254" t="str">
        <f t="shared" si="173"/>
        <v>-</v>
      </c>
      <c r="L1007" s="254" t="str">
        <f t="shared" si="173"/>
        <v>-</v>
      </c>
      <c r="M1007" s="254" t="str">
        <f t="shared" si="173"/>
        <v>-</v>
      </c>
      <c r="N1007" s="255"/>
    </row>
    <row r="1008" spans="1:14" s="256" customFormat="1" hidden="1" outlineLevel="2">
      <c r="A1008" s="178"/>
      <c r="B1008" s="257" t="s">
        <v>212</v>
      </c>
      <c r="C1008" s="253" t="s">
        <v>174</v>
      </c>
      <c r="D1008" s="173">
        <v>-1</v>
      </c>
      <c r="E1008" s="252">
        <v>0.8</v>
      </c>
      <c r="F1008" s="252">
        <v>2.2200000000000002</v>
      </c>
      <c r="G1008" s="254" t="str">
        <f t="shared" si="173"/>
        <v>-</v>
      </c>
      <c r="H1008" s="254" t="str">
        <f t="shared" si="173"/>
        <v>-</v>
      </c>
      <c r="I1008" s="254" t="str">
        <f t="shared" si="173"/>
        <v>-</v>
      </c>
      <c r="J1008" s="254" t="str">
        <f t="shared" si="173"/>
        <v>-</v>
      </c>
      <c r="K1008" s="254" t="str">
        <f t="shared" si="173"/>
        <v>-</v>
      </c>
      <c r="L1008" s="254" t="str">
        <f t="shared" si="173"/>
        <v>-</v>
      </c>
      <c r="M1008" s="254" t="str">
        <f t="shared" si="173"/>
        <v>-</v>
      </c>
      <c r="N1008" s="255"/>
    </row>
    <row r="1009" spans="1:14" s="256" customFormat="1" hidden="1" outlineLevel="2">
      <c r="A1009" s="178"/>
      <c r="B1009" s="257" t="s">
        <v>199</v>
      </c>
      <c r="C1009" s="253" t="s">
        <v>174</v>
      </c>
      <c r="D1009" s="173">
        <v>-1</v>
      </c>
      <c r="E1009" s="252">
        <v>1.6</v>
      </c>
      <c r="F1009" s="252">
        <v>1.7</v>
      </c>
      <c r="G1009" s="254" t="str">
        <f t="shared" si="173"/>
        <v>-</v>
      </c>
      <c r="H1009" s="254" t="str">
        <f t="shared" si="173"/>
        <v>-</v>
      </c>
      <c r="I1009" s="254" t="str">
        <f t="shared" si="173"/>
        <v>-</v>
      </c>
      <c r="J1009" s="254" t="str">
        <f t="shared" si="173"/>
        <v>-</v>
      </c>
      <c r="K1009" s="254" t="str">
        <f t="shared" si="173"/>
        <v>-</v>
      </c>
      <c r="L1009" s="254" t="str">
        <f t="shared" si="173"/>
        <v>-</v>
      </c>
      <c r="M1009" s="254" t="str">
        <f t="shared" si="173"/>
        <v>-</v>
      </c>
      <c r="N1009" s="255"/>
    </row>
    <row r="1010" spans="1:14" s="256" customFormat="1" hidden="1" outlineLevel="2">
      <c r="A1010" s="178"/>
      <c r="B1010" s="257" t="s">
        <v>200</v>
      </c>
      <c r="C1010" s="253" t="s">
        <v>174</v>
      </c>
      <c r="D1010" s="173">
        <v>-2</v>
      </c>
      <c r="E1010" s="252">
        <v>0.85</v>
      </c>
      <c r="F1010" s="252">
        <v>0.55000000000000004</v>
      </c>
      <c r="G1010" s="254" t="str">
        <f t="shared" si="173"/>
        <v>-</v>
      </c>
      <c r="H1010" s="254" t="str">
        <f t="shared" si="173"/>
        <v>-</v>
      </c>
      <c r="I1010" s="254" t="str">
        <f t="shared" si="173"/>
        <v>-</v>
      </c>
      <c r="J1010" s="254" t="str">
        <f t="shared" si="173"/>
        <v>-</v>
      </c>
      <c r="K1010" s="254" t="str">
        <f t="shared" si="173"/>
        <v>-</v>
      </c>
      <c r="L1010" s="254" t="str">
        <f t="shared" si="173"/>
        <v>-</v>
      </c>
      <c r="M1010" s="254" t="str">
        <f t="shared" si="173"/>
        <v>-</v>
      </c>
      <c r="N1010" s="255"/>
    </row>
    <row r="1011" spans="1:14" s="256" customFormat="1" hidden="1" outlineLevel="2">
      <c r="A1011" s="178"/>
      <c r="B1011" s="258" t="s">
        <v>201</v>
      </c>
      <c r="C1011" s="253" t="s">
        <v>174</v>
      </c>
      <c r="D1011" s="173">
        <v>1</v>
      </c>
      <c r="E1011" s="252">
        <v>2.1</v>
      </c>
      <c r="F1011" s="252">
        <v>0.25</v>
      </c>
      <c r="G1011" s="254" t="str">
        <f t="shared" si="173"/>
        <v>-</v>
      </c>
      <c r="H1011" s="254" t="str">
        <f t="shared" si="173"/>
        <v>-</v>
      </c>
      <c r="I1011" s="254" t="str">
        <f t="shared" si="173"/>
        <v>-</v>
      </c>
      <c r="J1011" s="254" t="str">
        <f t="shared" si="173"/>
        <v>-</v>
      </c>
      <c r="K1011" s="254" t="str">
        <f t="shared" si="173"/>
        <v>-</v>
      </c>
      <c r="L1011" s="254" t="str">
        <f t="shared" si="173"/>
        <v>-</v>
      </c>
      <c r="M1011" s="254" t="str">
        <f t="shared" si="173"/>
        <v>-</v>
      </c>
      <c r="N1011" s="255"/>
    </row>
    <row r="1012" spans="1:14" s="256" customFormat="1" hidden="1" outlineLevel="2">
      <c r="A1012" s="178"/>
      <c r="B1012" s="252" t="s">
        <v>202</v>
      </c>
      <c r="C1012" s="253" t="s">
        <v>176</v>
      </c>
      <c r="D1012" s="173">
        <v>1</v>
      </c>
      <c r="E1012" s="252">
        <v>2.1</v>
      </c>
      <c r="F1012" s="252">
        <v>1.05</v>
      </c>
      <c r="G1012" s="254" t="str">
        <f t="shared" si="173"/>
        <v>-</v>
      </c>
      <c r="H1012" s="254" t="str">
        <f t="shared" si="173"/>
        <v>-</v>
      </c>
      <c r="I1012" s="254" t="str">
        <f t="shared" si="173"/>
        <v>-</v>
      </c>
      <c r="J1012" s="254" t="str">
        <f t="shared" si="173"/>
        <v>-</v>
      </c>
      <c r="K1012" s="254" t="str">
        <f t="shared" si="173"/>
        <v>-</v>
      </c>
      <c r="L1012" s="254" t="str">
        <f t="shared" si="173"/>
        <v>-</v>
      </c>
      <c r="M1012" s="254" t="str">
        <f t="shared" si="173"/>
        <v>-</v>
      </c>
      <c r="N1012" s="255"/>
    </row>
    <row r="1013" spans="1:14" s="256" customFormat="1" hidden="1" outlineLevel="2">
      <c r="A1013" s="178"/>
      <c r="B1013" s="257" t="s">
        <v>203</v>
      </c>
      <c r="C1013" s="253" t="s">
        <v>176</v>
      </c>
      <c r="D1013" s="173">
        <v>-1</v>
      </c>
      <c r="E1013" s="252">
        <v>1.65</v>
      </c>
      <c r="F1013" s="252">
        <v>0.7</v>
      </c>
      <c r="G1013" s="254" t="str">
        <f t="shared" si="173"/>
        <v>-</v>
      </c>
      <c r="H1013" s="254" t="str">
        <f t="shared" si="173"/>
        <v>-</v>
      </c>
      <c r="I1013" s="254" t="str">
        <f t="shared" si="173"/>
        <v>-</v>
      </c>
      <c r="J1013" s="254" t="str">
        <f t="shared" si="173"/>
        <v>-</v>
      </c>
      <c r="K1013" s="254" t="str">
        <f t="shared" si="173"/>
        <v>-</v>
      </c>
      <c r="L1013" s="254" t="str">
        <f t="shared" si="173"/>
        <v>-</v>
      </c>
      <c r="M1013" s="254" t="str">
        <f t="shared" si="173"/>
        <v>-</v>
      </c>
      <c r="N1013" s="255"/>
    </row>
    <row r="1014" spans="1:14" s="256" customFormat="1" hidden="1" outlineLevel="2">
      <c r="A1014" s="259"/>
      <c r="B1014" s="252"/>
      <c r="C1014" s="253"/>
      <c r="D1014" s="173"/>
      <c r="E1014" s="252"/>
      <c r="F1014" s="252"/>
      <c r="G1014" s="254" t="str">
        <f t="shared" si="173"/>
        <v>-</v>
      </c>
      <c r="H1014" s="254" t="str">
        <f t="shared" si="173"/>
        <v>-</v>
      </c>
      <c r="I1014" s="254" t="str">
        <f t="shared" si="173"/>
        <v>-</v>
      </c>
      <c r="J1014" s="254" t="str">
        <f t="shared" si="173"/>
        <v>-</v>
      </c>
      <c r="K1014" s="254" t="str">
        <f t="shared" si="173"/>
        <v>-</v>
      </c>
      <c r="L1014" s="254" t="str">
        <f t="shared" si="173"/>
        <v>-</v>
      </c>
      <c r="M1014" s="254" t="str">
        <f t="shared" si="173"/>
        <v>-</v>
      </c>
      <c r="N1014" s="255"/>
    </row>
    <row r="1015" spans="1:14" s="251" customFormat="1" ht="15" hidden="1" outlineLevel="1" collapsed="1">
      <c r="A1015" s="245"/>
      <c r="B1015" s="246" t="s">
        <v>213</v>
      </c>
      <c r="C1015" s="245"/>
      <c r="D1015" s="247">
        <v>1</v>
      </c>
      <c r="E1015" s="248"/>
      <c r="F1015" s="248"/>
      <c r="G1015" s="249">
        <f t="shared" ref="G1015:M1015" si="174">SUBTOTAL(9,G1016:G1033)</f>
        <v>20.8</v>
      </c>
      <c r="H1015" s="249">
        <f t="shared" si="174"/>
        <v>5.3</v>
      </c>
      <c r="I1015" s="249">
        <f t="shared" si="174"/>
        <v>4.2799999999999994</v>
      </c>
      <c r="J1015" s="249">
        <f t="shared" si="174"/>
        <v>0.36</v>
      </c>
      <c r="K1015" s="249">
        <f t="shared" si="174"/>
        <v>0</v>
      </c>
      <c r="L1015" s="249">
        <f t="shared" si="174"/>
        <v>0</v>
      </c>
      <c r="M1015" s="249">
        <f t="shared" si="174"/>
        <v>0</v>
      </c>
      <c r="N1015" s="250"/>
    </row>
    <row r="1016" spans="1:14" s="256" customFormat="1" hidden="1" outlineLevel="2">
      <c r="A1016" s="178"/>
      <c r="B1016" s="252" t="s">
        <v>189</v>
      </c>
      <c r="C1016" s="253" t="s">
        <v>169</v>
      </c>
      <c r="D1016" s="173">
        <v>1</v>
      </c>
      <c r="E1016" s="252">
        <v>20.8</v>
      </c>
      <c r="F1016" s="252"/>
      <c r="G1016" s="254">
        <f t="shared" ref="G1016:M1040" si="175">IF($C1016=G$5,PRODUCT($D1016:$F1016),"-")</f>
        <v>20.8</v>
      </c>
      <c r="H1016" s="254" t="str">
        <f t="shared" si="175"/>
        <v>-</v>
      </c>
      <c r="I1016" s="254" t="str">
        <f t="shared" si="175"/>
        <v>-</v>
      </c>
      <c r="J1016" s="254" t="str">
        <f t="shared" si="175"/>
        <v>-</v>
      </c>
      <c r="K1016" s="254" t="str">
        <f t="shared" si="175"/>
        <v>-</v>
      </c>
      <c r="L1016" s="254" t="str">
        <f t="shared" si="175"/>
        <v>-</v>
      </c>
      <c r="M1016" s="254" t="str">
        <f t="shared" si="175"/>
        <v>-</v>
      </c>
      <c r="N1016" s="255"/>
    </row>
    <row r="1017" spans="1:14" s="256" customFormat="1" hidden="1" outlineLevel="2">
      <c r="A1017" s="178"/>
      <c r="B1017" s="252" t="s">
        <v>190</v>
      </c>
      <c r="C1017" s="253" t="s">
        <v>170</v>
      </c>
      <c r="D1017" s="173">
        <v>1</v>
      </c>
      <c r="E1017" s="252">
        <v>19.399999999999999</v>
      </c>
      <c r="F1017" s="252"/>
      <c r="G1017" s="254" t="str">
        <f t="shared" si="175"/>
        <v>-</v>
      </c>
      <c r="H1017" s="254" t="str">
        <f t="shared" si="175"/>
        <v>-</v>
      </c>
      <c r="I1017" s="254" t="str">
        <f t="shared" si="175"/>
        <v>-</v>
      </c>
      <c r="J1017" s="254" t="str">
        <f t="shared" si="175"/>
        <v>-</v>
      </c>
      <c r="K1017" s="254" t="str">
        <f t="shared" si="175"/>
        <v>-</v>
      </c>
      <c r="L1017" s="254" t="str">
        <f t="shared" si="175"/>
        <v>-</v>
      </c>
      <c r="M1017" s="254" t="str">
        <f t="shared" si="175"/>
        <v>-</v>
      </c>
      <c r="N1017" s="255"/>
    </row>
    <row r="1018" spans="1:14" s="256" customFormat="1" hidden="1" outlineLevel="2">
      <c r="A1018" s="178"/>
      <c r="B1018" s="257" t="s">
        <v>191</v>
      </c>
      <c r="C1018" s="253" t="s">
        <v>170</v>
      </c>
      <c r="D1018" s="173">
        <v>-1</v>
      </c>
      <c r="E1018" s="252">
        <v>1.2</v>
      </c>
      <c r="F1018" s="252"/>
      <c r="G1018" s="254" t="str">
        <f t="shared" si="175"/>
        <v>-</v>
      </c>
      <c r="H1018" s="254" t="str">
        <f t="shared" si="175"/>
        <v>-</v>
      </c>
      <c r="I1018" s="254" t="str">
        <f t="shared" si="175"/>
        <v>-</v>
      </c>
      <c r="J1018" s="254" t="str">
        <f t="shared" si="175"/>
        <v>-</v>
      </c>
      <c r="K1018" s="254" t="str">
        <f t="shared" si="175"/>
        <v>-</v>
      </c>
      <c r="L1018" s="254" t="str">
        <f t="shared" si="175"/>
        <v>-</v>
      </c>
      <c r="M1018" s="254" t="str">
        <f t="shared" si="175"/>
        <v>-</v>
      </c>
      <c r="N1018" s="255"/>
    </row>
    <row r="1019" spans="1:14" s="256" customFormat="1" hidden="1" outlineLevel="2">
      <c r="A1019" s="178"/>
      <c r="B1019" s="257" t="s">
        <v>192</v>
      </c>
      <c r="C1019" s="253" t="s">
        <v>170</v>
      </c>
      <c r="D1019" s="173">
        <v>-1</v>
      </c>
      <c r="E1019" s="252">
        <v>3.2</v>
      </c>
      <c r="F1019" s="252"/>
      <c r="G1019" s="254" t="str">
        <f t="shared" si="175"/>
        <v>-</v>
      </c>
      <c r="H1019" s="254" t="str">
        <f t="shared" si="175"/>
        <v>-</v>
      </c>
      <c r="I1019" s="254" t="str">
        <f t="shared" si="175"/>
        <v>-</v>
      </c>
      <c r="J1019" s="254" t="str">
        <f t="shared" si="175"/>
        <v>-</v>
      </c>
      <c r="K1019" s="254" t="str">
        <f t="shared" si="175"/>
        <v>-</v>
      </c>
      <c r="L1019" s="254" t="str">
        <f t="shared" si="175"/>
        <v>-</v>
      </c>
      <c r="M1019" s="254" t="str">
        <f t="shared" si="175"/>
        <v>-</v>
      </c>
      <c r="N1019" s="255"/>
    </row>
    <row r="1020" spans="1:14" s="256" customFormat="1" hidden="1" outlineLevel="2">
      <c r="A1020" s="178"/>
      <c r="B1020" s="252" t="s">
        <v>193</v>
      </c>
      <c r="C1020" s="253" t="s">
        <v>171</v>
      </c>
      <c r="D1020" s="173">
        <v>1</v>
      </c>
      <c r="E1020" s="252">
        <v>5.3</v>
      </c>
      <c r="F1020" s="252"/>
      <c r="G1020" s="254" t="str">
        <f t="shared" si="175"/>
        <v>-</v>
      </c>
      <c r="H1020" s="254">
        <f t="shared" si="175"/>
        <v>5.3</v>
      </c>
      <c r="I1020" s="254" t="str">
        <f t="shared" si="175"/>
        <v>-</v>
      </c>
      <c r="J1020" s="254" t="str">
        <f t="shared" si="175"/>
        <v>-</v>
      </c>
      <c r="K1020" s="254" t="str">
        <f t="shared" si="175"/>
        <v>-</v>
      </c>
      <c r="L1020" s="254" t="str">
        <f t="shared" si="175"/>
        <v>-</v>
      </c>
      <c r="M1020" s="254" t="str">
        <f t="shared" si="175"/>
        <v>-</v>
      </c>
      <c r="N1020" s="255"/>
    </row>
    <row r="1021" spans="1:14" s="256" customFormat="1" hidden="1" outlineLevel="2">
      <c r="A1021" s="178"/>
      <c r="B1021" s="252" t="s">
        <v>194</v>
      </c>
      <c r="C1021" s="253" t="s">
        <v>172</v>
      </c>
      <c r="D1021" s="173">
        <v>1</v>
      </c>
      <c r="E1021" s="252">
        <v>11</v>
      </c>
      <c r="F1021" s="252"/>
      <c r="G1021" s="254" t="str">
        <f t="shared" si="175"/>
        <v>-</v>
      </c>
      <c r="H1021" s="254" t="str">
        <f t="shared" si="175"/>
        <v>-</v>
      </c>
      <c r="I1021" s="254" t="str">
        <f t="shared" si="175"/>
        <v>-</v>
      </c>
      <c r="J1021" s="254" t="str">
        <f t="shared" si="175"/>
        <v>-</v>
      </c>
      <c r="K1021" s="254" t="str">
        <f t="shared" si="175"/>
        <v>-</v>
      </c>
      <c r="L1021" s="254" t="str">
        <f t="shared" si="175"/>
        <v>-</v>
      </c>
      <c r="M1021" s="254" t="str">
        <f t="shared" si="175"/>
        <v>-</v>
      </c>
      <c r="N1021" s="255"/>
    </row>
    <row r="1022" spans="1:14" s="256" customFormat="1" hidden="1" outlineLevel="2">
      <c r="A1022" s="178"/>
      <c r="B1022" s="257" t="s">
        <v>191</v>
      </c>
      <c r="C1022" s="253" t="s">
        <v>172</v>
      </c>
      <c r="D1022" s="173">
        <v>-1</v>
      </c>
      <c r="E1022" s="252">
        <f>1.2+0.8*2</f>
        <v>2.8</v>
      </c>
      <c r="F1022" s="252"/>
      <c r="G1022" s="254" t="str">
        <f t="shared" si="175"/>
        <v>-</v>
      </c>
      <c r="H1022" s="254" t="str">
        <f t="shared" si="175"/>
        <v>-</v>
      </c>
      <c r="I1022" s="254" t="str">
        <f t="shared" si="175"/>
        <v>-</v>
      </c>
      <c r="J1022" s="254" t="str">
        <f t="shared" si="175"/>
        <v>-</v>
      </c>
      <c r="K1022" s="254" t="str">
        <f t="shared" si="175"/>
        <v>-</v>
      </c>
      <c r="L1022" s="254" t="str">
        <f t="shared" si="175"/>
        <v>-</v>
      </c>
      <c r="M1022" s="254" t="str">
        <f t="shared" si="175"/>
        <v>-</v>
      </c>
      <c r="N1022" s="255"/>
    </row>
    <row r="1023" spans="1:14" s="256" customFormat="1" hidden="1" outlineLevel="2">
      <c r="A1023" s="178"/>
      <c r="B1023" s="257" t="s">
        <v>195</v>
      </c>
      <c r="C1023" s="253" t="s">
        <v>172</v>
      </c>
      <c r="D1023" s="173">
        <v>-1</v>
      </c>
      <c r="E1023" s="252">
        <v>2</v>
      </c>
      <c r="F1023" s="252"/>
      <c r="G1023" s="254" t="str">
        <f t="shared" si="175"/>
        <v>-</v>
      </c>
      <c r="H1023" s="254" t="str">
        <f t="shared" si="175"/>
        <v>-</v>
      </c>
      <c r="I1023" s="254" t="str">
        <f t="shared" si="175"/>
        <v>-</v>
      </c>
      <c r="J1023" s="254" t="str">
        <f t="shared" si="175"/>
        <v>-</v>
      </c>
      <c r="K1023" s="254" t="str">
        <f t="shared" si="175"/>
        <v>-</v>
      </c>
      <c r="L1023" s="254" t="str">
        <f t="shared" si="175"/>
        <v>-</v>
      </c>
      <c r="M1023" s="254" t="str">
        <f t="shared" si="175"/>
        <v>-</v>
      </c>
      <c r="N1023" s="255"/>
    </row>
    <row r="1024" spans="1:14" s="256" customFormat="1" hidden="1" outlineLevel="2">
      <c r="A1024" s="178"/>
      <c r="B1024" s="252" t="s">
        <v>196</v>
      </c>
      <c r="C1024" s="253" t="s">
        <v>173</v>
      </c>
      <c r="D1024" s="173">
        <v>1</v>
      </c>
      <c r="E1024" s="252">
        <f>4.64-0.18*2</f>
        <v>4.2799999999999994</v>
      </c>
      <c r="F1024" s="252"/>
      <c r="G1024" s="254" t="str">
        <f t="shared" si="175"/>
        <v>-</v>
      </c>
      <c r="H1024" s="254" t="str">
        <f t="shared" si="175"/>
        <v>-</v>
      </c>
      <c r="I1024" s="254">
        <f t="shared" si="175"/>
        <v>4.2799999999999994</v>
      </c>
      <c r="J1024" s="254" t="str">
        <f t="shared" si="175"/>
        <v>-</v>
      </c>
      <c r="K1024" s="254" t="str">
        <f t="shared" si="175"/>
        <v>-</v>
      </c>
      <c r="L1024" s="254" t="str">
        <f t="shared" si="175"/>
        <v>-</v>
      </c>
      <c r="M1024" s="254" t="str">
        <f t="shared" si="175"/>
        <v>-</v>
      </c>
      <c r="N1024" s="255"/>
    </row>
    <row r="1025" spans="1:14" s="256" customFormat="1" hidden="1" outlineLevel="2">
      <c r="A1025" s="178"/>
      <c r="B1025" s="252" t="s">
        <v>197</v>
      </c>
      <c r="C1025" s="253" t="s">
        <v>175</v>
      </c>
      <c r="D1025" s="173">
        <v>1</v>
      </c>
      <c r="E1025" s="252">
        <f>0.3*0.6*2</f>
        <v>0.36</v>
      </c>
      <c r="F1025" s="252"/>
      <c r="G1025" s="254" t="str">
        <f t="shared" si="175"/>
        <v>-</v>
      </c>
      <c r="H1025" s="254" t="str">
        <f t="shared" si="175"/>
        <v>-</v>
      </c>
      <c r="I1025" s="254" t="str">
        <f t="shared" si="175"/>
        <v>-</v>
      </c>
      <c r="J1025" s="254">
        <f t="shared" si="175"/>
        <v>0.36</v>
      </c>
      <c r="K1025" s="254" t="str">
        <f t="shared" si="175"/>
        <v>-</v>
      </c>
      <c r="L1025" s="254" t="str">
        <f t="shared" si="175"/>
        <v>-</v>
      </c>
      <c r="M1025" s="254" t="str">
        <f t="shared" si="175"/>
        <v>-</v>
      </c>
      <c r="N1025" s="255"/>
    </row>
    <row r="1026" spans="1:14" s="256" customFormat="1" hidden="1" outlineLevel="2">
      <c r="A1026" s="178"/>
      <c r="B1026" s="252" t="s">
        <v>198</v>
      </c>
      <c r="C1026" s="253" t="s">
        <v>174</v>
      </c>
      <c r="D1026" s="173">
        <v>1</v>
      </c>
      <c r="E1026" s="252">
        <v>12.2</v>
      </c>
      <c r="F1026" s="252">
        <v>2.2999999999999998</v>
      </c>
      <c r="G1026" s="254" t="str">
        <f t="shared" si="175"/>
        <v>-</v>
      </c>
      <c r="H1026" s="254" t="str">
        <f t="shared" si="175"/>
        <v>-</v>
      </c>
      <c r="I1026" s="254" t="str">
        <f t="shared" si="175"/>
        <v>-</v>
      </c>
      <c r="J1026" s="254" t="str">
        <f t="shared" si="175"/>
        <v>-</v>
      </c>
      <c r="K1026" s="254" t="str">
        <f t="shared" si="175"/>
        <v>-</v>
      </c>
      <c r="L1026" s="254" t="str">
        <f t="shared" si="175"/>
        <v>-</v>
      </c>
      <c r="M1026" s="254" t="str">
        <f t="shared" si="175"/>
        <v>-</v>
      </c>
      <c r="N1026" s="255"/>
    </row>
    <row r="1027" spans="1:14" s="256" customFormat="1" hidden="1" outlineLevel="2">
      <c r="A1027" s="178"/>
      <c r="B1027" s="257" t="s">
        <v>212</v>
      </c>
      <c r="C1027" s="253" t="s">
        <v>174</v>
      </c>
      <c r="D1027" s="173">
        <v>-1</v>
      </c>
      <c r="E1027" s="252">
        <v>0.8</v>
      </c>
      <c r="F1027" s="252">
        <v>2.2200000000000002</v>
      </c>
      <c r="G1027" s="254" t="str">
        <f t="shared" si="175"/>
        <v>-</v>
      </c>
      <c r="H1027" s="254" t="str">
        <f t="shared" si="175"/>
        <v>-</v>
      </c>
      <c r="I1027" s="254" t="str">
        <f t="shared" si="175"/>
        <v>-</v>
      </c>
      <c r="J1027" s="254" t="str">
        <f t="shared" si="175"/>
        <v>-</v>
      </c>
      <c r="K1027" s="254" t="str">
        <f t="shared" si="175"/>
        <v>-</v>
      </c>
      <c r="L1027" s="254" t="str">
        <f t="shared" si="175"/>
        <v>-</v>
      </c>
      <c r="M1027" s="254" t="str">
        <f t="shared" si="175"/>
        <v>-</v>
      </c>
      <c r="N1027" s="255"/>
    </row>
    <row r="1028" spans="1:14" s="256" customFormat="1" hidden="1" outlineLevel="2">
      <c r="A1028" s="178"/>
      <c r="B1028" s="257" t="s">
        <v>199</v>
      </c>
      <c r="C1028" s="253" t="s">
        <v>174</v>
      </c>
      <c r="D1028" s="173">
        <v>-1</v>
      </c>
      <c r="E1028" s="252">
        <v>1.75</v>
      </c>
      <c r="F1028" s="252">
        <v>1.7</v>
      </c>
      <c r="G1028" s="254" t="str">
        <f t="shared" si="175"/>
        <v>-</v>
      </c>
      <c r="H1028" s="254" t="str">
        <f t="shared" si="175"/>
        <v>-</v>
      </c>
      <c r="I1028" s="254" t="str">
        <f t="shared" si="175"/>
        <v>-</v>
      </c>
      <c r="J1028" s="254" t="str">
        <f t="shared" si="175"/>
        <v>-</v>
      </c>
      <c r="K1028" s="254" t="str">
        <f t="shared" si="175"/>
        <v>-</v>
      </c>
      <c r="L1028" s="254" t="str">
        <f t="shared" si="175"/>
        <v>-</v>
      </c>
      <c r="M1028" s="254" t="str">
        <f t="shared" si="175"/>
        <v>-</v>
      </c>
      <c r="N1028" s="255"/>
    </row>
    <row r="1029" spans="1:14" s="256" customFormat="1" hidden="1" outlineLevel="2">
      <c r="A1029" s="178"/>
      <c r="B1029" s="257" t="s">
        <v>200</v>
      </c>
      <c r="C1029" s="253" t="s">
        <v>174</v>
      </c>
      <c r="D1029" s="173">
        <v>-2</v>
      </c>
      <c r="E1029" s="252">
        <v>0.85</v>
      </c>
      <c r="F1029" s="252">
        <v>0.55000000000000004</v>
      </c>
      <c r="G1029" s="254" t="str">
        <f t="shared" si="175"/>
        <v>-</v>
      </c>
      <c r="H1029" s="254" t="str">
        <f t="shared" si="175"/>
        <v>-</v>
      </c>
      <c r="I1029" s="254" t="str">
        <f t="shared" si="175"/>
        <v>-</v>
      </c>
      <c r="J1029" s="254" t="str">
        <f t="shared" si="175"/>
        <v>-</v>
      </c>
      <c r="K1029" s="254" t="str">
        <f t="shared" si="175"/>
        <v>-</v>
      </c>
      <c r="L1029" s="254" t="str">
        <f t="shared" si="175"/>
        <v>-</v>
      </c>
      <c r="M1029" s="254" t="str">
        <f t="shared" si="175"/>
        <v>-</v>
      </c>
      <c r="N1029" s="255"/>
    </row>
    <row r="1030" spans="1:14" s="256" customFormat="1" hidden="1" outlineLevel="2">
      <c r="A1030" s="178"/>
      <c r="B1030" s="258" t="s">
        <v>201</v>
      </c>
      <c r="C1030" s="253" t="s">
        <v>174</v>
      </c>
      <c r="D1030" s="173">
        <v>1</v>
      </c>
      <c r="E1030" s="252">
        <v>2.15</v>
      </c>
      <c r="F1030" s="252">
        <v>0.25</v>
      </c>
      <c r="G1030" s="254" t="str">
        <f t="shared" si="175"/>
        <v>-</v>
      </c>
      <c r="H1030" s="254" t="str">
        <f t="shared" si="175"/>
        <v>-</v>
      </c>
      <c r="I1030" s="254" t="str">
        <f t="shared" si="175"/>
        <v>-</v>
      </c>
      <c r="J1030" s="254" t="str">
        <f t="shared" si="175"/>
        <v>-</v>
      </c>
      <c r="K1030" s="254" t="str">
        <f t="shared" si="175"/>
        <v>-</v>
      </c>
      <c r="L1030" s="254" t="str">
        <f t="shared" si="175"/>
        <v>-</v>
      </c>
      <c r="M1030" s="254" t="str">
        <f t="shared" si="175"/>
        <v>-</v>
      </c>
      <c r="N1030" s="255"/>
    </row>
    <row r="1031" spans="1:14" s="256" customFormat="1" hidden="1" outlineLevel="2">
      <c r="A1031" s="178"/>
      <c r="B1031" s="252" t="s">
        <v>202</v>
      </c>
      <c r="C1031" s="253" t="s">
        <v>176</v>
      </c>
      <c r="D1031" s="173">
        <v>1</v>
      </c>
      <c r="E1031" s="252">
        <v>2.15</v>
      </c>
      <c r="F1031" s="252">
        <v>0.85</v>
      </c>
      <c r="G1031" s="254" t="str">
        <f t="shared" si="175"/>
        <v>-</v>
      </c>
      <c r="H1031" s="254" t="str">
        <f t="shared" si="175"/>
        <v>-</v>
      </c>
      <c r="I1031" s="254" t="str">
        <f t="shared" si="175"/>
        <v>-</v>
      </c>
      <c r="J1031" s="254" t="str">
        <f t="shared" si="175"/>
        <v>-</v>
      </c>
      <c r="K1031" s="254" t="str">
        <f t="shared" si="175"/>
        <v>-</v>
      </c>
      <c r="L1031" s="254" t="str">
        <f t="shared" si="175"/>
        <v>-</v>
      </c>
      <c r="M1031" s="254" t="str">
        <f t="shared" si="175"/>
        <v>-</v>
      </c>
      <c r="N1031" s="255"/>
    </row>
    <row r="1032" spans="1:14" s="256" customFormat="1" hidden="1" outlineLevel="2">
      <c r="A1032" s="178"/>
      <c r="B1032" s="257" t="s">
        <v>203</v>
      </c>
      <c r="C1032" s="253" t="s">
        <v>176</v>
      </c>
      <c r="D1032" s="173">
        <v>-1</v>
      </c>
      <c r="E1032" s="252">
        <v>1.65</v>
      </c>
      <c r="F1032" s="252">
        <v>0.7</v>
      </c>
      <c r="G1032" s="254" t="str">
        <f t="shared" si="175"/>
        <v>-</v>
      </c>
      <c r="H1032" s="254" t="str">
        <f t="shared" si="175"/>
        <v>-</v>
      </c>
      <c r="I1032" s="254" t="str">
        <f t="shared" si="175"/>
        <v>-</v>
      </c>
      <c r="J1032" s="254" t="str">
        <f t="shared" si="175"/>
        <v>-</v>
      </c>
      <c r="K1032" s="254" t="str">
        <f t="shared" si="175"/>
        <v>-</v>
      </c>
      <c r="L1032" s="254" t="str">
        <f t="shared" si="175"/>
        <v>-</v>
      </c>
      <c r="M1032" s="254" t="str">
        <f t="shared" si="175"/>
        <v>-</v>
      </c>
      <c r="N1032" s="255"/>
    </row>
    <row r="1033" spans="1:14" s="256" customFormat="1" hidden="1" outlineLevel="2">
      <c r="A1033" s="259"/>
      <c r="B1033" s="252"/>
      <c r="C1033" s="253"/>
      <c r="D1033" s="173"/>
      <c r="E1033" s="252"/>
      <c r="F1033" s="252"/>
      <c r="G1033" s="254" t="str">
        <f t="shared" si="175"/>
        <v>-</v>
      </c>
      <c r="H1033" s="254" t="str">
        <f t="shared" si="175"/>
        <v>-</v>
      </c>
      <c r="I1033" s="254" t="str">
        <f t="shared" si="175"/>
        <v>-</v>
      </c>
      <c r="J1033" s="254" t="str">
        <f t="shared" si="175"/>
        <v>-</v>
      </c>
      <c r="K1033" s="254" t="str">
        <f t="shared" si="175"/>
        <v>-</v>
      </c>
      <c r="L1033" s="254" t="str">
        <f t="shared" si="175"/>
        <v>-</v>
      </c>
      <c r="M1033" s="254" t="str">
        <f t="shared" si="175"/>
        <v>-</v>
      </c>
      <c r="N1033" s="255"/>
    </row>
    <row r="1034" spans="1:14" s="251" customFormat="1" ht="15" hidden="1" outlineLevel="1" collapsed="1">
      <c r="A1034" s="245"/>
      <c r="B1034" s="246" t="s">
        <v>214</v>
      </c>
      <c r="C1034" s="245"/>
      <c r="D1034" s="247">
        <v>1</v>
      </c>
      <c r="E1034" s="248"/>
      <c r="F1034" s="248"/>
      <c r="G1034" s="249">
        <f t="shared" ref="G1034:M1034" si="176">SUBTOTAL(9,G1035:G1045)</f>
        <v>21.3</v>
      </c>
      <c r="H1034" s="249">
        <f t="shared" si="176"/>
        <v>12.4</v>
      </c>
      <c r="I1034" s="249">
        <f t="shared" si="176"/>
        <v>2.7</v>
      </c>
      <c r="J1034" s="249">
        <f t="shared" si="176"/>
        <v>0</v>
      </c>
      <c r="K1034" s="249">
        <f t="shared" si="176"/>
        <v>0</v>
      </c>
      <c r="L1034" s="249">
        <f t="shared" si="176"/>
        <v>0</v>
      </c>
      <c r="M1034" s="249">
        <f t="shared" si="176"/>
        <v>0</v>
      </c>
      <c r="N1034" s="250"/>
    </row>
    <row r="1035" spans="1:14" s="256" customFormat="1" hidden="1" outlineLevel="2">
      <c r="A1035" s="178"/>
      <c r="B1035" s="252" t="s">
        <v>189</v>
      </c>
      <c r="C1035" s="253" t="s">
        <v>169</v>
      </c>
      <c r="D1035" s="173">
        <v>1</v>
      </c>
      <c r="E1035" s="252">
        <v>21.3</v>
      </c>
      <c r="F1035" s="252"/>
      <c r="G1035" s="254">
        <f t="shared" si="175"/>
        <v>21.3</v>
      </c>
      <c r="H1035" s="254" t="str">
        <f t="shared" si="175"/>
        <v>-</v>
      </c>
      <c r="I1035" s="254" t="str">
        <f t="shared" si="175"/>
        <v>-</v>
      </c>
      <c r="J1035" s="254" t="str">
        <f t="shared" si="175"/>
        <v>-</v>
      </c>
      <c r="K1035" s="254" t="str">
        <f t="shared" si="175"/>
        <v>-</v>
      </c>
      <c r="L1035" s="254" t="str">
        <f t="shared" si="175"/>
        <v>-</v>
      </c>
      <c r="M1035" s="254" t="str">
        <f t="shared" si="175"/>
        <v>-</v>
      </c>
      <c r="N1035" s="255"/>
    </row>
    <row r="1036" spans="1:14" s="256" customFormat="1" hidden="1" outlineLevel="2">
      <c r="A1036" s="178"/>
      <c r="B1036" s="252" t="s">
        <v>190</v>
      </c>
      <c r="C1036" s="253" t="s">
        <v>170</v>
      </c>
      <c r="D1036" s="173">
        <v>1</v>
      </c>
      <c r="E1036" s="252">
        <v>20.399999999999999</v>
      </c>
      <c r="F1036" s="252"/>
      <c r="G1036" s="254" t="str">
        <f t="shared" si="175"/>
        <v>-</v>
      </c>
      <c r="H1036" s="254" t="str">
        <f t="shared" si="175"/>
        <v>-</v>
      </c>
      <c r="I1036" s="254" t="str">
        <f t="shared" si="175"/>
        <v>-</v>
      </c>
      <c r="J1036" s="254" t="str">
        <f t="shared" si="175"/>
        <v>-</v>
      </c>
      <c r="K1036" s="254" t="str">
        <f t="shared" si="175"/>
        <v>-</v>
      </c>
      <c r="L1036" s="254" t="str">
        <f t="shared" si="175"/>
        <v>-</v>
      </c>
      <c r="M1036" s="254" t="str">
        <f t="shared" si="175"/>
        <v>-</v>
      </c>
      <c r="N1036" s="255"/>
    </row>
    <row r="1037" spans="1:14" s="256" customFormat="1" hidden="1" outlineLevel="2">
      <c r="A1037" s="178"/>
      <c r="B1037" s="257" t="s">
        <v>191</v>
      </c>
      <c r="C1037" s="253" t="s">
        <v>170</v>
      </c>
      <c r="D1037" s="173">
        <v>-1</v>
      </c>
      <c r="E1037" s="252">
        <f>2.6+0.8</f>
        <v>3.4000000000000004</v>
      </c>
      <c r="F1037" s="252"/>
      <c r="G1037" s="254" t="str">
        <f t="shared" si="175"/>
        <v>-</v>
      </c>
      <c r="H1037" s="254" t="str">
        <f t="shared" si="175"/>
        <v>-</v>
      </c>
      <c r="I1037" s="254" t="str">
        <f t="shared" si="175"/>
        <v>-</v>
      </c>
      <c r="J1037" s="254" t="str">
        <f t="shared" si="175"/>
        <v>-</v>
      </c>
      <c r="K1037" s="254" t="str">
        <f t="shared" si="175"/>
        <v>-</v>
      </c>
      <c r="L1037" s="254" t="str">
        <f t="shared" si="175"/>
        <v>-</v>
      </c>
      <c r="M1037" s="254" t="str">
        <f t="shared" si="175"/>
        <v>-</v>
      </c>
      <c r="N1037" s="255"/>
    </row>
    <row r="1038" spans="1:14" s="256" customFormat="1" hidden="1" outlineLevel="2">
      <c r="A1038" s="178"/>
      <c r="B1038" s="257" t="s">
        <v>192</v>
      </c>
      <c r="C1038" s="253" t="s">
        <v>170</v>
      </c>
      <c r="D1038" s="173">
        <v>-1</v>
      </c>
      <c r="E1038" s="252">
        <v>2.8</v>
      </c>
      <c r="F1038" s="252"/>
      <c r="G1038" s="254" t="str">
        <f t="shared" si="175"/>
        <v>-</v>
      </c>
      <c r="H1038" s="254" t="str">
        <f t="shared" si="175"/>
        <v>-</v>
      </c>
      <c r="I1038" s="254" t="str">
        <f t="shared" si="175"/>
        <v>-</v>
      </c>
      <c r="J1038" s="254" t="str">
        <f t="shared" si="175"/>
        <v>-</v>
      </c>
      <c r="K1038" s="254" t="str">
        <f t="shared" si="175"/>
        <v>-</v>
      </c>
      <c r="L1038" s="254" t="str">
        <f t="shared" si="175"/>
        <v>-</v>
      </c>
      <c r="M1038" s="254" t="str">
        <f t="shared" si="175"/>
        <v>-</v>
      </c>
      <c r="N1038" s="255"/>
    </row>
    <row r="1039" spans="1:14" s="256" customFormat="1" hidden="1" outlineLevel="2">
      <c r="A1039" s="178"/>
      <c r="B1039" s="252" t="s">
        <v>193</v>
      </c>
      <c r="C1039" s="253" t="s">
        <v>171</v>
      </c>
      <c r="D1039" s="173">
        <v>1</v>
      </c>
      <c r="E1039" s="252">
        <v>12.4</v>
      </c>
      <c r="F1039" s="252"/>
      <c r="G1039" s="254" t="str">
        <f t="shared" si="175"/>
        <v>-</v>
      </c>
      <c r="H1039" s="254">
        <f t="shared" si="175"/>
        <v>12.4</v>
      </c>
      <c r="I1039" s="254" t="str">
        <f t="shared" si="175"/>
        <v>-</v>
      </c>
      <c r="J1039" s="254" t="str">
        <f t="shared" si="175"/>
        <v>-</v>
      </c>
      <c r="K1039" s="254" t="str">
        <f t="shared" si="175"/>
        <v>-</v>
      </c>
      <c r="L1039" s="254" t="str">
        <f t="shared" si="175"/>
        <v>-</v>
      </c>
      <c r="M1039" s="254" t="str">
        <f t="shared" si="175"/>
        <v>-</v>
      </c>
      <c r="N1039" s="255"/>
    </row>
    <row r="1040" spans="1:14" s="256" customFormat="1" hidden="1" outlineLevel="2">
      <c r="A1040" s="178"/>
      <c r="B1040" s="252" t="s">
        <v>194</v>
      </c>
      <c r="C1040" s="253" t="s">
        <v>172</v>
      </c>
      <c r="D1040" s="173">
        <v>1</v>
      </c>
      <c r="E1040" s="252">
        <v>15.7</v>
      </c>
      <c r="F1040" s="252"/>
      <c r="G1040" s="254" t="str">
        <f t="shared" si="175"/>
        <v>-</v>
      </c>
      <c r="H1040" s="254" t="str">
        <f t="shared" ref="H1040:M1040" si="177">IF($C1040=H$5,PRODUCT($D1040:$F1040),"-")</f>
        <v>-</v>
      </c>
      <c r="I1040" s="254" t="str">
        <f t="shared" si="177"/>
        <v>-</v>
      </c>
      <c r="J1040" s="254" t="str">
        <f t="shared" si="177"/>
        <v>-</v>
      </c>
      <c r="K1040" s="254" t="str">
        <f t="shared" si="177"/>
        <v>-</v>
      </c>
      <c r="L1040" s="254" t="str">
        <f t="shared" si="177"/>
        <v>-</v>
      </c>
      <c r="M1040" s="254" t="str">
        <f t="shared" si="177"/>
        <v>-</v>
      </c>
      <c r="N1040" s="255"/>
    </row>
    <row r="1041" spans="1:14" s="256" customFormat="1" hidden="1" outlineLevel="2">
      <c r="A1041" s="178"/>
      <c r="B1041" s="257" t="s">
        <v>191</v>
      </c>
      <c r="C1041" s="253" t="s">
        <v>172</v>
      </c>
      <c r="D1041" s="173">
        <v>-1</v>
      </c>
      <c r="E1041" s="252">
        <f>2.6+0.8</f>
        <v>3.4000000000000004</v>
      </c>
      <c r="F1041" s="252"/>
      <c r="G1041" s="254" t="str">
        <f t="shared" ref="G1041:M1045" si="178">IF($C1041=G$5,PRODUCT($D1041:$F1041),"-")</f>
        <v>-</v>
      </c>
      <c r="H1041" s="254" t="str">
        <f t="shared" si="178"/>
        <v>-</v>
      </c>
      <c r="I1041" s="254" t="str">
        <f t="shared" si="178"/>
        <v>-</v>
      </c>
      <c r="J1041" s="254" t="str">
        <f t="shared" si="178"/>
        <v>-</v>
      </c>
      <c r="K1041" s="254" t="str">
        <f t="shared" si="178"/>
        <v>-</v>
      </c>
      <c r="L1041" s="254" t="str">
        <f t="shared" si="178"/>
        <v>-</v>
      </c>
      <c r="M1041" s="254" t="str">
        <f t="shared" si="178"/>
        <v>-</v>
      </c>
      <c r="N1041" s="255"/>
    </row>
    <row r="1042" spans="1:14" s="256" customFormat="1" hidden="1" outlineLevel="2">
      <c r="A1042" s="178"/>
      <c r="B1042" s="252" t="s">
        <v>196</v>
      </c>
      <c r="C1042" s="253" t="s">
        <v>173</v>
      </c>
      <c r="D1042" s="173">
        <v>1</v>
      </c>
      <c r="E1042" s="252">
        <v>2.7</v>
      </c>
      <c r="F1042" s="252"/>
      <c r="G1042" s="254" t="str">
        <f t="shared" si="178"/>
        <v>-</v>
      </c>
      <c r="H1042" s="254" t="str">
        <f t="shared" si="178"/>
        <v>-</v>
      </c>
      <c r="I1042" s="254">
        <f t="shared" si="178"/>
        <v>2.7</v>
      </c>
      <c r="J1042" s="254" t="str">
        <f t="shared" si="178"/>
        <v>-</v>
      </c>
      <c r="K1042" s="254" t="str">
        <f t="shared" si="178"/>
        <v>-</v>
      </c>
      <c r="L1042" s="254" t="str">
        <f t="shared" si="178"/>
        <v>-</v>
      </c>
      <c r="M1042" s="254" t="str">
        <f t="shared" si="178"/>
        <v>-</v>
      </c>
      <c r="N1042" s="255"/>
    </row>
    <row r="1043" spans="1:14" s="256" customFormat="1" hidden="1" outlineLevel="2">
      <c r="A1043" s="178"/>
      <c r="B1043" s="252" t="s">
        <v>198</v>
      </c>
      <c r="C1043" s="253" t="s">
        <v>174</v>
      </c>
      <c r="D1043" s="173">
        <v>1</v>
      </c>
      <c r="E1043" s="252">
        <v>6.7</v>
      </c>
      <c r="F1043" s="252">
        <v>2.2999999999999998</v>
      </c>
      <c r="G1043" s="254" t="str">
        <f t="shared" si="178"/>
        <v>-</v>
      </c>
      <c r="H1043" s="254" t="str">
        <f t="shared" si="178"/>
        <v>-</v>
      </c>
      <c r="I1043" s="254" t="str">
        <f t="shared" si="178"/>
        <v>-</v>
      </c>
      <c r="J1043" s="254" t="str">
        <f t="shared" si="178"/>
        <v>-</v>
      </c>
      <c r="K1043" s="254" t="str">
        <f t="shared" si="178"/>
        <v>-</v>
      </c>
      <c r="L1043" s="254" t="str">
        <f t="shared" si="178"/>
        <v>-</v>
      </c>
      <c r="M1043" s="254" t="str">
        <f t="shared" si="178"/>
        <v>-</v>
      </c>
      <c r="N1043" s="255"/>
    </row>
    <row r="1044" spans="1:14" s="256" customFormat="1" hidden="1" outlineLevel="2">
      <c r="A1044" s="178"/>
      <c r="B1044" s="257" t="s">
        <v>191</v>
      </c>
      <c r="C1044" s="253" t="s">
        <v>174</v>
      </c>
      <c r="D1044" s="173">
        <v>-1</v>
      </c>
      <c r="E1044" s="252">
        <v>0.8</v>
      </c>
      <c r="F1044" s="252">
        <v>2.2000000000000002</v>
      </c>
      <c r="G1044" s="254" t="str">
        <f t="shared" si="178"/>
        <v>-</v>
      </c>
      <c r="H1044" s="254" t="str">
        <f t="shared" si="178"/>
        <v>-</v>
      </c>
      <c r="I1044" s="254" t="str">
        <f t="shared" si="178"/>
        <v>-</v>
      </c>
      <c r="J1044" s="254" t="str">
        <f t="shared" si="178"/>
        <v>-</v>
      </c>
      <c r="K1044" s="254" t="str">
        <f t="shared" si="178"/>
        <v>-</v>
      </c>
      <c r="L1044" s="254" t="str">
        <f t="shared" si="178"/>
        <v>-</v>
      </c>
      <c r="M1044" s="254" t="str">
        <f t="shared" si="178"/>
        <v>-</v>
      </c>
      <c r="N1044" s="255"/>
    </row>
    <row r="1045" spans="1:14" s="256" customFormat="1" hidden="1" outlineLevel="2">
      <c r="A1045" s="259"/>
      <c r="B1045" s="252"/>
      <c r="C1045" s="253"/>
      <c r="D1045" s="173"/>
      <c r="E1045" s="252"/>
      <c r="F1045" s="252"/>
      <c r="G1045" s="254" t="str">
        <f t="shared" si="178"/>
        <v>-</v>
      </c>
      <c r="H1045" s="254" t="str">
        <f t="shared" si="178"/>
        <v>-</v>
      </c>
      <c r="I1045" s="254" t="str">
        <f t="shared" si="178"/>
        <v>-</v>
      </c>
      <c r="J1045" s="254" t="str">
        <f t="shared" si="178"/>
        <v>-</v>
      </c>
      <c r="K1045" s="254" t="str">
        <f t="shared" si="178"/>
        <v>-</v>
      </c>
      <c r="L1045" s="254" t="str">
        <f t="shared" si="178"/>
        <v>-</v>
      </c>
      <c r="M1045" s="254" t="str">
        <f t="shared" si="178"/>
        <v>-</v>
      </c>
      <c r="N1045" s="255"/>
    </row>
    <row r="1046" spans="1:14" s="251" customFormat="1" ht="15" hidden="1" outlineLevel="1" collapsed="1">
      <c r="A1046" s="245"/>
      <c r="B1046" s="246" t="s">
        <v>215</v>
      </c>
      <c r="C1046" s="245"/>
      <c r="D1046" s="247">
        <v>1</v>
      </c>
      <c r="E1046" s="248"/>
      <c r="F1046" s="248"/>
      <c r="G1046" s="249">
        <f t="shared" ref="G1046:M1046" si="179">SUBTOTAL(9,G1047:G1065)</f>
        <v>41.099999999999994</v>
      </c>
      <c r="H1046" s="249">
        <f t="shared" si="179"/>
        <v>9.5</v>
      </c>
      <c r="I1046" s="249">
        <f t="shared" si="179"/>
        <v>8.9799999999999986</v>
      </c>
      <c r="J1046" s="249">
        <f t="shared" si="179"/>
        <v>0.72</v>
      </c>
      <c r="K1046" s="249">
        <f t="shared" si="179"/>
        <v>0</v>
      </c>
      <c r="L1046" s="249">
        <f t="shared" si="179"/>
        <v>0</v>
      </c>
      <c r="M1046" s="249">
        <f t="shared" si="179"/>
        <v>0</v>
      </c>
      <c r="N1046" s="250"/>
    </row>
    <row r="1047" spans="1:14" s="256" customFormat="1" hidden="1" outlineLevel="2">
      <c r="A1047" s="178"/>
      <c r="B1047" s="252" t="s">
        <v>189</v>
      </c>
      <c r="C1047" s="253" t="s">
        <v>169</v>
      </c>
      <c r="D1047" s="173">
        <v>1</v>
      </c>
      <c r="E1047" s="252">
        <f>20.4+20.7</f>
        <v>41.099999999999994</v>
      </c>
      <c r="F1047" s="252"/>
      <c r="G1047" s="254">
        <f t="shared" ref="G1047:M1065" si="180">IF($C1047=G$5,PRODUCT($D1047:$F1047),"-")</f>
        <v>41.099999999999994</v>
      </c>
      <c r="H1047" s="254" t="str">
        <f t="shared" si="180"/>
        <v>-</v>
      </c>
      <c r="I1047" s="254" t="str">
        <f t="shared" si="180"/>
        <v>-</v>
      </c>
      <c r="J1047" s="254" t="str">
        <f t="shared" si="180"/>
        <v>-</v>
      </c>
      <c r="K1047" s="254" t="str">
        <f t="shared" si="180"/>
        <v>-</v>
      </c>
      <c r="L1047" s="254" t="str">
        <f t="shared" si="180"/>
        <v>-</v>
      </c>
      <c r="M1047" s="254" t="str">
        <f t="shared" si="180"/>
        <v>-</v>
      </c>
      <c r="N1047" s="255"/>
    </row>
    <row r="1048" spans="1:14" s="256" customFormat="1" hidden="1" outlineLevel="2">
      <c r="A1048" s="178"/>
      <c r="B1048" s="252" t="s">
        <v>190</v>
      </c>
      <c r="C1048" s="253" t="s">
        <v>170</v>
      </c>
      <c r="D1048" s="173">
        <v>1</v>
      </c>
      <c r="E1048" s="252">
        <f>19.4+19.1</f>
        <v>38.5</v>
      </c>
      <c r="F1048" s="252"/>
      <c r="G1048" s="254" t="str">
        <f t="shared" si="180"/>
        <v>-</v>
      </c>
      <c r="H1048" s="254" t="str">
        <f t="shared" si="180"/>
        <v>-</v>
      </c>
      <c r="I1048" s="254" t="str">
        <f t="shared" si="180"/>
        <v>-</v>
      </c>
      <c r="J1048" s="254" t="str">
        <f t="shared" si="180"/>
        <v>-</v>
      </c>
      <c r="K1048" s="254" t="str">
        <f t="shared" si="180"/>
        <v>-</v>
      </c>
      <c r="L1048" s="254" t="str">
        <f t="shared" si="180"/>
        <v>-</v>
      </c>
      <c r="M1048" s="254" t="str">
        <f t="shared" si="180"/>
        <v>-</v>
      </c>
      <c r="N1048" s="255"/>
    </row>
    <row r="1049" spans="1:14" s="256" customFormat="1" hidden="1" outlineLevel="2">
      <c r="A1049" s="178"/>
      <c r="B1049" s="257" t="s">
        <v>191</v>
      </c>
      <c r="C1049" s="253" t="s">
        <v>170</v>
      </c>
      <c r="D1049" s="173">
        <v>-1</v>
      </c>
      <c r="E1049" s="252">
        <f>1.75+1.2</f>
        <v>2.95</v>
      </c>
      <c r="F1049" s="252"/>
      <c r="G1049" s="254" t="str">
        <f t="shared" si="180"/>
        <v>-</v>
      </c>
      <c r="H1049" s="254" t="str">
        <f t="shared" si="180"/>
        <v>-</v>
      </c>
      <c r="I1049" s="254" t="str">
        <f t="shared" si="180"/>
        <v>-</v>
      </c>
      <c r="J1049" s="254" t="str">
        <f t="shared" si="180"/>
        <v>-</v>
      </c>
      <c r="K1049" s="254" t="str">
        <f t="shared" si="180"/>
        <v>-</v>
      </c>
      <c r="L1049" s="254" t="str">
        <f t="shared" si="180"/>
        <v>-</v>
      </c>
      <c r="M1049" s="254" t="str">
        <f t="shared" si="180"/>
        <v>-</v>
      </c>
      <c r="N1049" s="255"/>
    </row>
    <row r="1050" spans="1:14" s="256" customFormat="1" hidden="1" outlineLevel="2">
      <c r="A1050" s="178"/>
      <c r="B1050" s="257" t="s">
        <v>192</v>
      </c>
      <c r="C1050" s="253" t="s">
        <v>170</v>
      </c>
      <c r="D1050" s="173">
        <v>-2</v>
      </c>
      <c r="E1050" s="252">
        <f>2.8</f>
        <v>2.8</v>
      </c>
      <c r="F1050" s="252"/>
      <c r="G1050" s="254" t="str">
        <f t="shared" si="180"/>
        <v>-</v>
      </c>
      <c r="H1050" s="254" t="str">
        <f t="shared" si="180"/>
        <v>-</v>
      </c>
      <c r="I1050" s="254" t="str">
        <f t="shared" si="180"/>
        <v>-</v>
      </c>
      <c r="J1050" s="254" t="str">
        <f t="shared" si="180"/>
        <v>-</v>
      </c>
      <c r="K1050" s="254" t="str">
        <f t="shared" si="180"/>
        <v>-</v>
      </c>
      <c r="L1050" s="254" t="str">
        <f t="shared" si="180"/>
        <v>-</v>
      </c>
      <c r="M1050" s="254" t="str">
        <f t="shared" si="180"/>
        <v>-</v>
      </c>
      <c r="N1050" s="255"/>
    </row>
    <row r="1051" spans="1:14" s="256" customFormat="1" hidden="1" outlineLevel="2">
      <c r="A1051" s="178"/>
      <c r="B1051" s="252" t="s">
        <v>193</v>
      </c>
      <c r="C1051" s="253" t="s">
        <v>171</v>
      </c>
      <c r="D1051" s="173">
        <v>1</v>
      </c>
      <c r="E1051" s="252">
        <f>4.2+5.3</f>
        <v>9.5</v>
      </c>
      <c r="F1051" s="252"/>
      <c r="G1051" s="254" t="str">
        <f t="shared" si="180"/>
        <v>-</v>
      </c>
      <c r="H1051" s="254">
        <f t="shared" si="180"/>
        <v>9.5</v>
      </c>
      <c r="I1051" s="254" t="str">
        <f t="shared" si="180"/>
        <v>-</v>
      </c>
      <c r="J1051" s="254" t="str">
        <f t="shared" si="180"/>
        <v>-</v>
      </c>
      <c r="K1051" s="254" t="str">
        <f t="shared" si="180"/>
        <v>-</v>
      </c>
      <c r="L1051" s="254" t="str">
        <f t="shared" si="180"/>
        <v>-</v>
      </c>
      <c r="M1051" s="254" t="str">
        <f t="shared" si="180"/>
        <v>-</v>
      </c>
      <c r="N1051" s="255"/>
    </row>
    <row r="1052" spans="1:14" s="256" customFormat="1" hidden="1" outlineLevel="2">
      <c r="A1052" s="178"/>
      <c r="B1052" s="252" t="s">
        <v>194</v>
      </c>
      <c r="C1052" s="253" t="s">
        <v>172</v>
      </c>
      <c r="D1052" s="173">
        <v>1</v>
      </c>
      <c r="E1052" s="252">
        <f>11+13</f>
        <v>24</v>
      </c>
      <c r="F1052" s="252"/>
      <c r="G1052" s="254" t="str">
        <f t="shared" si="180"/>
        <v>-</v>
      </c>
      <c r="H1052" s="254" t="str">
        <f t="shared" si="180"/>
        <v>-</v>
      </c>
      <c r="I1052" s="254" t="str">
        <f t="shared" si="180"/>
        <v>-</v>
      </c>
      <c r="J1052" s="254" t="str">
        <f t="shared" si="180"/>
        <v>-</v>
      </c>
      <c r="K1052" s="254" t="str">
        <f t="shared" si="180"/>
        <v>-</v>
      </c>
      <c r="L1052" s="254" t="str">
        <f t="shared" si="180"/>
        <v>-</v>
      </c>
      <c r="M1052" s="254" t="str">
        <f t="shared" si="180"/>
        <v>-</v>
      </c>
      <c r="N1052" s="255"/>
    </row>
    <row r="1053" spans="1:14" s="256" customFormat="1" hidden="1" outlineLevel="2">
      <c r="A1053" s="178"/>
      <c r="B1053" s="257" t="s">
        <v>191</v>
      </c>
      <c r="C1053" s="253" t="s">
        <v>172</v>
      </c>
      <c r="D1053" s="173">
        <v>-1</v>
      </c>
      <c r="E1053" s="252">
        <f>1.75+1.2+0.8*4</f>
        <v>6.15</v>
      </c>
      <c r="F1053" s="252"/>
      <c r="G1053" s="254" t="str">
        <f t="shared" si="180"/>
        <v>-</v>
      </c>
      <c r="H1053" s="254" t="str">
        <f t="shared" si="180"/>
        <v>-</v>
      </c>
      <c r="I1053" s="254" t="str">
        <f t="shared" si="180"/>
        <v>-</v>
      </c>
      <c r="J1053" s="254" t="str">
        <f t="shared" si="180"/>
        <v>-</v>
      </c>
      <c r="K1053" s="254" t="str">
        <f t="shared" si="180"/>
        <v>-</v>
      </c>
      <c r="L1053" s="254" t="str">
        <f t="shared" si="180"/>
        <v>-</v>
      </c>
      <c r="M1053" s="254" t="str">
        <f t="shared" si="180"/>
        <v>-</v>
      </c>
      <c r="N1053" s="255"/>
    </row>
    <row r="1054" spans="1:14" s="256" customFormat="1" hidden="1" outlineLevel="2">
      <c r="A1054" s="178"/>
      <c r="B1054" s="257" t="s">
        <v>195</v>
      </c>
      <c r="C1054" s="253" t="s">
        <v>172</v>
      </c>
      <c r="D1054" s="173">
        <v>-1</v>
      </c>
      <c r="E1054" s="252">
        <v>2.6</v>
      </c>
      <c r="F1054" s="252"/>
      <c r="G1054" s="254" t="str">
        <f t="shared" si="180"/>
        <v>-</v>
      </c>
      <c r="H1054" s="254" t="str">
        <f t="shared" si="180"/>
        <v>-</v>
      </c>
      <c r="I1054" s="254" t="str">
        <f t="shared" si="180"/>
        <v>-</v>
      </c>
      <c r="J1054" s="254" t="str">
        <f t="shared" si="180"/>
        <v>-</v>
      </c>
      <c r="K1054" s="254" t="str">
        <f t="shared" si="180"/>
        <v>-</v>
      </c>
      <c r="L1054" s="254" t="str">
        <f t="shared" si="180"/>
        <v>-</v>
      </c>
      <c r="M1054" s="254" t="str">
        <f t="shared" si="180"/>
        <v>-</v>
      </c>
      <c r="N1054" s="255"/>
    </row>
    <row r="1055" spans="1:14" s="256" customFormat="1" hidden="1" outlineLevel="2">
      <c r="A1055" s="178"/>
      <c r="B1055" s="252" t="s">
        <v>196</v>
      </c>
      <c r="C1055" s="253" t="s">
        <v>173</v>
      </c>
      <c r="D1055" s="173">
        <v>1</v>
      </c>
      <c r="E1055" s="252">
        <f>5.2+4.5-0.36*2</f>
        <v>8.9799999999999986</v>
      </c>
      <c r="F1055" s="252"/>
      <c r="G1055" s="254" t="str">
        <f t="shared" si="180"/>
        <v>-</v>
      </c>
      <c r="H1055" s="254" t="str">
        <f t="shared" si="180"/>
        <v>-</v>
      </c>
      <c r="I1055" s="254">
        <f t="shared" si="180"/>
        <v>8.9799999999999986</v>
      </c>
      <c r="J1055" s="254" t="str">
        <f t="shared" si="180"/>
        <v>-</v>
      </c>
      <c r="K1055" s="254" t="str">
        <f t="shared" si="180"/>
        <v>-</v>
      </c>
      <c r="L1055" s="254" t="str">
        <f t="shared" si="180"/>
        <v>-</v>
      </c>
      <c r="M1055" s="254" t="str">
        <f t="shared" si="180"/>
        <v>-</v>
      </c>
      <c r="N1055" s="255"/>
    </row>
    <row r="1056" spans="1:14" s="256" customFormat="1" hidden="1" outlineLevel="2">
      <c r="A1056" s="178"/>
      <c r="B1056" s="252" t="s">
        <v>197</v>
      </c>
      <c r="C1056" s="253" t="s">
        <v>175</v>
      </c>
      <c r="D1056" s="173">
        <v>2</v>
      </c>
      <c r="E1056" s="252">
        <f>0.3*0.6*2</f>
        <v>0.36</v>
      </c>
      <c r="F1056" s="252"/>
      <c r="G1056" s="254" t="str">
        <f t="shared" si="180"/>
        <v>-</v>
      </c>
      <c r="H1056" s="254" t="str">
        <f t="shared" si="180"/>
        <v>-</v>
      </c>
      <c r="I1056" s="254" t="str">
        <f t="shared" si="180"/>
        <v>-</v>
      </c>
      <c r="J1056" s="254">
        <f t="shared" si="180"/>
        <v>0.72</v>
      </c>
      <c r="K1056" s="254" t="str">
        <f t="shared" si="180"/>
        <v>-</v>
      </c>
      <c r="L1056" s="254" t="str">
        <f t="shared" si="180"/>
        <v>-</v>
      </c>
      <c r="M1056" s="254" t="str">
        <f t="shared" si="180"/>
        <v>-</v>
      </c>
      <c r="N1056" s="255"/>
    </row>
    <row r="1057" spans="1:14" s="256" customFormat="1" hidden="1" outlineLevel="2">
      <c r="A1057" s="178"/>
      <c r="B1057" s="252" t="s">
        <v>198</v>
      </c>
      <c r="C1057" s="253" t="s">
        <v>174</v>
      </c>
      <c r="D1057" s="173">
        <v>1</v>
      </c>
      <c r="E1057" s="252">
        <f>11.4+12</f>
        <v>23.4</v>
      </c>
      <c r="F1057" s="252">
        <v>2.2999999999999998</v>
      </c>
      <c r="G1057" s="254" t="str">
        <f t="shared" si="180"/>
        <v>-</v>
      </c>
      <c r="H1057" s="254" t="str">
        <f t="shared" si="180"/>
        <v>-</v>
      </c>
      <c r="I1057" s="254" t="str">
        <f t="shared" si="180"/>
        <v>-</v>
      </c>
      <c r="J1057" s="254" t="str">
        <f t="shared" si="180"/>
        <v>-</v>
      </c>
      <c r="K1057" s="254" t="str">
        <f t="shared" si="180"/>
        <v>-</v>
      </c>
      <c r="L1057" s="254" t="str">
        <f t="shared" si="180"/>
        <v>-</v>
      </c>
      <c r="M1057" s="254" t="str">
        <f t="shared" si="180"/>
        <v>-</v>
      </c>
      <c r="N1057" s="255"/>
    </row>
    <row r="1058" spans="1:14" s="256" customFormat="1" hidden="1" outlineLevel="2">
      <c r="A1058" s="178"/>
      <c r="B1058" s="257" t="s">
        <v>212</v>
      </c>
      <c r="C1058" s="253" t="s">
        <v>174</v>
      </c>
      <c r="D1058" s="173">
        <v>-2</v>
      </c>
      <c r="E1058" s="252">
        <v>0.8</v>
      </c>
      <c r="F1058" s="252">
        <v>2.2000000000000002</v>
      </c>
      <c r="G1058" s="254" t="str">
        <f t="shared" si="180"/>
        <v>-</v>
      </c>
      <c r="H1058" s="254" t="str">
        <f t="shared" si="180"/>
        <v>-</v>
      </c>
      <c r="I1058" s="254" t="str">
        <f t="shared" si="180"/>
        <v>-</v>
      </c>
      <c r="J1058" s="254" t="str">
        <f t="shared" si="180"/>
        <v>-</v>
      </c>
      <c r="K1058" s="254" t="str">
        <f t="shared" si="180"/>
        <v>-</v>
      </c>
      <c r="L1058" s="254" t="str">
        <f t="shared" si="180"/>
        <v>-</v>
      </c>
      <c r="M1058" s="254" t="str">
        <f t="shared" si="180"/>
        <v>-</v>
      </c>
      <c r="N1058" s="255"/>
    </row>
    <row r="1059" spans="1:14" s="256" customFormat="1" hidden="1" outlineLevel="2">
      <c r="A1059" s="178"/>
      <c r="B1059" s="257" t="s">
        <v>199</v>
      </c>
      <c r="C1059" s="253" t="s">
        <v>174</v>
      </c>
      <c r="D1059" s="173">
        <v>-2</v>
      </c>
      <c r="E1059" s="252">
        <v>1.6</v>
      </c>
      <c r="F1059" s="252">
        <v>1.7</v>
      </c>
      <c r="G1059" s="254" t="str">
        <f t="shared" si="180"/>
        <v>-</v>
      </c>
      <c r="H1059" s="254" t="str">
        <f t="shared" si="180"/>
        <v>-</v>
      </c>
      <c r="I1059" s="254" t="str">
        <f t="shared" si="180"/>
        <v>-</v>
      </c>
      <c r="J1059" s="254" t="str">
        <f t="shared" si="180"/>
        <v>-</v>
      </c>
      <c r="K1059" s="254" t="str">
        <f t="shared" si="180"/>
        <v>-</v>
      </c>
      <c r="L1059" s="254" t="str">
        <f t="shared" si="180"/>
        <v>-</v>
      </c>
      <c r="M1059" s="254" t="str">
        <f t="shared" si="180"/>
        <v>-</v>
      </c>
      <c r="N1059" s="255"/>
    </row>
    <row r="1060" spans="1:14" s="256" customFormat="1" hidden="1" outlineLevel="2">
      <c r="A1060" s="178"/>
      <c r="B1060" s="257" t="s">
        <v>200</v>
      </c>
      <c r="C1060" s="253" t="s">
        <v>174</v>
      </c>
      <c r="D1060" s="173">
        <v>-4</v>
      </c>
      <c r="E1060" s="252">
        <v>0.85</v>
      </c>
      <c r="F1060" s="252">
        <v>0.55000000000000004</v>
      </c>
      <c r="G1060" s="254" t="str">
        <f t="shared" si="180"/>
        <v>-</v>
      </c>
      <c r="H1060" s="254" t="str">
        <f t="shared" si="180"/>
        <v>-</v>
      </c>
      <c r="I1060" s="254" t="str">
        <f t="shared" si="180"/>
        <v>-</v>
      </c>
      <c r="J1060" s="254" t="str">
        <f t="shared" si="180"/>
        <v>-</v>
      </c>
      <c r="K1060" s="254" t="str">
        <f t="shared" si="180"/>
        <v>-</v>
      </c>
      <c r="L1060" s="254" t="str">
        <f t="shared" si="180"/>
        <v>-</v>
      </c>
      <c r="M1060" s="254" t="str">
        <f t="shared" si="180"/>
        <v>-</v>
      </c>
      <c r="N1060" s="255"/>
    </row>
    <row r="1061" spans="1:14" s="256" customFormat="1" hidden="1" outlineLevel="2">
      <c r="A1061" s="178"/>
      <c r="B1061" s="258" t="s">
        <v>201</v>
      </c>
      <c r="C1061" s="253" t="s">
        <v>174</v>
      </c>
      <c r="D1061" s="173">
        <v>1</v>
      </c>
      <c r="E1061" s="252">
        <f>2.1+1.8</f>
        <v>3.9000000000000004</v>
      </c>
      <c r="F1061" s="252">
        <v>0.25</v>
      </c>
      <c r="G1061" s="254" t="str">
        <f t="shared" si="180"/>
        <v>-</v>
      </c>
      <c r="H1061" s="254" t="str">
        <f t="shared" si="180"/>
        <v>-</v>
      </c>
      <c r="I1061" s="254" t="str">
        <f t="shared" si="180"/>
        <v>-</v>
      </c>
      <c r="J1061" s="254" t="str">
        <f t="shared" si="180"/>
        <v>-</v>
      </c>
      <c r="K1061" s="254" t="str">
        <f t="shared" si="180"/>
        <v>-</v>
      </c>
      <c r="L1061" s="254" t="str">
        <f t="shared" si="180"/>
        <v>-</v>
      </c>
      <c r="M1061" s="254" t="str">
        <f t="shared" si="180"/>
        <v>-</v>
      </c>
      <c r="N1061" s="255"/>
    </row>
    <row r="1062" spans="1:14" s="256" customFormat="1" hidden="1" outlineLevel="2">
      <c r="A1062" s="178"/>
      <c r="B1062" s="252" t="s">
        <v>202</v>
      </c>
      <c r="C1062" s="253" t="s">
        <v>176</v>
      </c>
      <c r="D1062" s="173">
        <v>1</v>
      </c>
      <c r="E1062" s="252">
        <v>2.1</v>
      </c>
      <c r="F1062" s="252">
        <v>0.9</v>
      </c>
      <c r="G1062" s="254" t="str">
        <f t="shared" si="180"/>
        <v>-</v>
      </c>
      <c r="H1062" s="254" t="str">
        <f t="shared" si="180"/>
        <v>-</v>
      </c>
      <c r="I1062" s="254" t="str">
        <f t="shared" si="180"/>
        <v>-</v>
      </c>
      <c r="J1062" s="254" t="str">
        <f t="shared" si="180"/>
        <v>-</v>
      </c>
      <c r="K1062" s="254" t="str">
        <f t="shared" si="180"/>
        <v>-</v>
      </c>
      <c r="L1062" s="254" t="str">
        <f t="shared" si="180"/>
        <v>-</v>
      </c>
      <c r="M1062" s="254" t="str">
        <f t="shared" si="180"/>
        <v>-</v>
      </c>
      <c r="N1062" s="255"/>
    </row>
    <row r="1063" spans="1:14" s="256" customFormat="1" hidden="1" outlineLevel="2">
      <c r="A1063" s="178"/>
      <c r="B1063" s="252" t="s">
        <v>202</v>
      </c>
      <c r="C1063" s="253" t="s">
        <v>176</v>
      </c>
      <c r="D1063" s="173">
        <v>1</v>
      </c>
      <c r="E1063" s="252">
        <v>1.8</v>
      </c>
      <c r="F1063" s="252">
        <v>0.9</v>
      </c>
      <c r="G1063" s="254" t="str">
        <f t="shared" si="180"/>
        <v>-</v>
      </c>
      <c r="H1063" s="254" t="str">
        <f t="shared" si="180"/>
        <v>-</v>
      </c>
      <c r="I1063" s="254" t="str">
        <f t="shared" si="180"/>
        <v>-</v>
      </c>
      <c r="J1063" s="254" t="str">
        <f t="shared" si="180"/>
        <v>-</v>
      </c>
      <c r="K1063" s="254" t="str">
        <f t="shared" si="180"/>
        <v>-</v>
      </c>
      <c r="L1063" s="254" t="str">
        <f t="shared" si="180"/>
        <v>-</v>
      </c>
      <c r="M1063" s="254" t="str">
        <f t="shared" si="180"/>
        <v>-</v>
      </c>
      <c r="N1063" s="255"/>
    </row>
    <row r="1064" spans="1:14" s="256" customFormat="1" hidden="1" outlineLevel="2">
      <c r="A1064" s="178"/>
      <c r="B1064" s="257" t="s">
        <v>203</v>
      </c>
      <c r="C1064" s="253" t="s">
        <v>176</v>
      </c>
      <c r="D1064" s="173">
        <v>-2</v>
      </c>
      <c r="E1064" s="252">
        <v>1.65</v>
      </c>
      <c r="F1064" s="252">
        <v>0.7</v>
      </c>
      <c r="G1064" s="254" t="str">
        <f t="shared" si="180"/>
        <v>-</v>
      </c>
      <c r="H1064" s="254" t="str">
        <f t="shared" si="180"/>
        <v>-</v>
      </c>
      <c r="I1064" s="254" t="str">
        <f t="shared" si="180"/>
        <v>-</v>
      </c>
      <c r="J1064" s="254" t="str">
        <f t="shared" si="180"/>
        <v>-</v>
      </c>
      <c r="K1064" s="254" t="str">
        <f t="shared" si="180"/>
        <v>-</v>
      </c>
      <c r="L1064" s="254" t="str">
        <f t="shared" si="180"/>
        <v>-</v>
      </c>
      <c r="M1064" s="254" t="str">
        <f t="shared" si="180"/>
        <v>-</v>
      </c>
      <c r="N1064" s="255"/>
    </row>
    <row r="1065" spans="1:14" s="256" customFormat="1" hidden="1" outlineLevel="2">
      <c r="A1065" s="259"/>
      <c r="B1065" s="252"/>
      <c r="C1065" s="253"/>
      <c r="D1065" s="173"/>
      <c r="E1065" s="252"/>
      <c r="F1065" s="252"/>
      <c r="G1065" s="254" t="str">
        <f t="shared" si="180"/>
        <v>-</v>
      </c>
      <c r="H1065" s="254" t="str">
        <f t="shared" si="180"/>
        <v>-</v>
      </c>
      <c r="I1065" s="254" t="str">
        <f t="shared" si="180"/>
        <v>-</v>
      </c>
      <c r="J1065" s="254" t="str">
        <f t="shared" si="180"/>
        <v>-</v>
      </c>
      <c r="K1065" s="254" t="str">
        <f t="shared" si="180"/>
        <v>-</v>
      </c>
      <c r="L1065" s="254" t="str">
        <f t="shared" si="180"/>
        <v>-</v>
      </c>
      <c r="M1065" s="254" t="str">
        <f t="shared" si="180"/>
        <v>-</v>
      </c>
      <c r="N1065" s="255"/>
    </row>
    <row r="1066" spans="1:14" s="236" customFormat="1" ht="15" hidden="1" outlineLevel="1">
      <c r="A1066" s="260"/>
      <c r="B1066" s="261" t="s">
        <v>216</v>
      </c>
      <c r="C1066" s="260"/>
      <c r="D1066" s="262">
        <v>1</v>
      </c>
      <c r="E1066" s="263"/>
      <c r="F1066" s="263"/>
      <c r="G1066" s="264">
        <f>SUM(G1015,G1034,G1046)</f>
        <v>83.199999999999989</v>
      </c>
      <c r="H1066" s="264">
        <f t="shared" ref="H1066:M1066" si="181">SUM(H1015,H1034,H1046)</f>
        <v>27.2</v>
      </c>
      <c r="I1066" s="264">
        <f t="shared" si="181"/>
        <v>15.959999999999997</v>
      </c>
      <c r="J1066" s="264">
        <f t="shared" si="181"/>
        <v>1.08</v>
      </c>
      <c r="K1066" s="264">
        <f t="shared" si="181"/>
        <v>0</v>
      </c>
      <c r="L1066" s="264">
        <f t="shared" si="181"/>
        <v>0</v>
      </c>
      <c r="M1066" s="264">
        <f t="shared" si="181"/>
        <v>0</v>
      </c>
      <c r="N1066" s="265" t="s">
        <v>298</v>
      </c>
    </row>
    <row r="1067" spans="1:14" s="251" customFormat="1" ht="15" hidden="1" outlineLevel="1" collapsed="1">
      <c r="A1067" s="245"/>
      <c r="B1067" s="246" t="s">
        <v>219</v>
      </c>
      <c r="C1067" s="245"/>
      <c r="D1067" s="247">
        <v>1</v>
      </c>
      <c r="E1067" s="248"/>
      <c r="F1067" s="248"/>
      <c r="G1067" s="249">
        <f t="shared" ref="G1067:M1067" si="182">SUBTOTAL(9,G1068:G1085)</f>
        <v>20.9</v>
      </c>
      <c r="H1067" s="249">
        <f t="shared" si="182"/>
        <v>5</v>
      </c>
      <c r="I1067" s="249">
        <f t="shared" si="182"/>
        <v>4.34</v>
      </c>
      <c r="J1067" s="249">
        <f t="shared" si="182"/>
        <v>0.36</v>
      </c>
      <c r="K1067" s="249">
        <f t="shared" si="182"/>
        <v>0</v>
      </c>
      <c r="L1067" s="249">
        <f t="shared" si="182"/>
        <v>0</v>
      </c>
      <c r="M1067" s="249">
        <f t="shared" si="182"/>
        <v>0</v>
      </c>
      <c r="N1067" s="250"/>
    </row>
    <row r="1068" spans="1:14" s="256" customFormat="1" hidden="1" outlineLevel="2">
      <c r="A1068" s="178"/>
      <c r="B1068" s="252" t="s">
        <v>189</v>
      </c>
      <c r="C1068" s="253" t="s">
        <v>169</v>
      </c>
      <c r="D1068" s="173">
        <v>1</v>
      </c>
      <c r="E1068" s="252">
        <v>20.9</v>
      </c>
      <c r="F1068" s="252"/>
      <c r="G1068" s="254">
        <f t="shared" ref="G1068:M1092" si="183">IF($C1068=G$5,PRODUCT($D1068:$F1068),"-")</f>
        <v>20.9</v>
      </c>
      <c r="H1068" s="254" t="str">
        <f t="shared" si="183"/>
        <v>-</v>
      </c>
      <c r="I1068" s="254" t="str">
        <f t="shared" si="183"/>
        <v>-</v>
      </c>
      <c r="J1068" s="254" t="str">
        <f t="shared" si="183"/>
        <v>-</v>
      </c>
      <c r="K1068" s="254" t="str">
        <f t="shared" si="183"/>
        <v>-</v>
      </c>
      <c r="L1068" s="254" t="str">
        <f t="shared" si="183"/>
        <v>-</v>
      </c>
      <c r="M1068" s="254" t="str">
        <f t="shared" si="183"/>
        <v>-</v>
      </c>
      <c r="N1068" s="255"/>
    </row>
    <row r="1069" spans="1:14" s="256" customFormat="1" hidden="1" outlineLevel="2">
      <c r="A1069" s="178"/>
      <c r="B1069" s="252" t="s">
        <v>190</v>
      </c>
      <c r="C1069" s="253" t="s">
        <v>170</v>
      </c>
      <c r="D1069" s="173">
        <v>1</v>
      </c>
      <c r="E1069" s="252">
        <v>19.5</v>
      </c>
      <c r="F1069" s="252"/>
      <c r="G1069" s="254" t="str">
        <f t="shared" si="183"/>
        <v>-</v>
      </c>
      <c r="H1069" s="254" t="str">
        <f t="shared" si="183"/>
        <v>-</v>
      </c>
      <c r="I1069" s="254" t="str">
        <f t="shared" si="183"/>
        <v>-</v>
      </c>
      <c r="J1069" s="254" t="str">
        <f t="shared" si="183"/>
        <v>-</v>
      </c>
      <c r="K1069" s="254" t="str">
        <f t="shared" si="183"/>
        <v>-</v>
      </c>
      <c r="L1069" s="254" t="str">
        <f t="shared" si="183"/>
        <v>-</v>
      </c>
      <c r="M1069" s="254" t="str">
        <f t="shared" si="183"/>
        <v>-</v>
      </c>
      <c r="N1069" s="255"/>
    </row>
    <row r="1070" spans="1:14" s="256" customFormat="1" hidden="1" outlineLevel="2">
      <c r="A1070" s="178"/>
      <c r="B1070" s="257" t="s">
        <v>191</v>
      </c>
      <c r="C1070" s="253" t="s">
        <v>170</v>
      </c>
      <c r="D1070" s="173">
        <v>-1</v>
      </c>
      <c r="E1070" s="252">
        <v>1.2</v>
      </c>
      <c r="F1070" s="252"/>
      <c r="G1070" s="254" t="str">
        <f t="shared" si="183"/>
        <v>-</v>
      </c>
      <c r="H1070" s="254" t="str">
        <f t="shared" si="183"/>
        <v>-</v>
      </c>
      <c r="I1070" s="254" t="str">
        <f t="shared" si="183"/>
        <v>-</v>
      </c>
      <c r="J1070" s="254" t="str">
        <f t="shared" si="183"/>
        <v>-</v>
      </c>
      <c r="K1070" s="254" t="str">
        <f t="shared" si="183"/>
        <v>-</v>
      </c>
      <c r="L1070" s="254" t="str">
        <f t="shared" si="183"/>
        <v>-</v>
      </c>
      <c r="M1070" s="254" t="str">
        <f t="shared" si="183"/>
        <v>-</v>
      </c>
      <c r="N1070" s="255"/>
    </row>
    <row r="1071" spans="1:14" s="256" customFormat="1" hidden="1" outlineLevel="2">
      <c r="A1071" s="178"/>
      <c r="B1071" s="257" t="s">
        <v>192</v>
      </c>
      <c r="C1071" s="253" t="s">
        <v>170</v>
      </c>
      <c r="D1071" s="173">
        <v>-1</v>
      </c>
      <c r="E1071" s="252">
        <v>3.2</v>
      </c>
      <c r="F1071" s="252"/>
      <c r="G1071" s="254" t="str">
        <f t="shared" si="183"/>
        <v>-</v>
      </c>
      <c r="H1071" s="254" t="str">
        <f t="shared" si="183"/>
        <v>-</v>
      </c>
      <c r="I1071" s="254" t="str">
        <f t="shared" si="183"/>
        <v>-</v>
      </c>
      <c r="J1071" s="254" t="str">
        <f t="shared" si="183"/>
        <v>-</v>
      </c>
      <c r="K1071" s="254" t="str">
        <f t="shared" si="183"/>
        <v>-</v>
      </c>
      <c r="L1071" s="254" t="str">
        <f t="shared" si="183"/>
        <v>-</v>
      </c>
      <c r="M1071" s="254" t="str">
        <f t="shared" si="183"/>
        <v>-</v>
      </c>
      <c r="N1071" s="255"/>
    </row>
    <row r="1072" spans="1:14" s="256" customFormat="1" hidden="1" outlineLevel="2">
      <c r="A1072" s="178"/>
      <c r="B1072" s="252" t="s">
        <v>193</v>
      </c>
      <c r="C1072" s="253" t="s">
        <v>171</v>
      </c>
      <c r="D1072" s="173">
        <v>1</v>
      </c>
      <c r="E1072" s="252">
        <v>5</v>
      </c>
      <c r="F1072" s="252"/>
      <c r="G1072" s="254" t="str">
        <f t="shared" si="183"/>
        <v>-</v>
      </c>
      <c r="H1072" s="254">
        <f t="shared" si="183"/>
        <v>5</v>
      </c>
      <c r="I1072" s="254" t="str">
        <f t="shared" si="183"/>
        <v>-</v>
      </c>
      <c r="J1072" s="254" t="str">
        <f t="shared" si="183"/>
        <v>-</v>
      </c>
      <c r="K1072" s="254" t="str">
        <f t="shared" si="183"/>
        <v>-</v>
      </c>
      <c r="L1072" s="254" t="str">
        <f t="shared" si="183"/>
        <v>-</v>
      </c>
      <c r="M1072" s="254" t="str">
        <f t="shared" si="183"/>
        <v>-</v>
      </c>
      <c r="N1072" s="255"/>
    </row>
    <row r="1073" spans="1:14" s="256" customFormat="1" hidden="1" outlineLevel="2">
      <c r="A1073" s="178"/>
      <c r="B1073" s="252" t="s">
        <v>194</v>
      </c>
      <c r="C1073" s="253" t="s">
        <v>172</v>
      </c>
      <c r="D1073" s="173">
        <v>1</v>
      </c>
      <c r="E1073" s="252">
        <v>11</v>
      </c>
      <c r="F1073" s="252"/>
      <c r="G1073" s="254" t="str">
        <f t="shared" si="183"/>
        <v>-</v>
      </c>
      <c r="H1073" s="254" t="str">
        <f t="shared" si="183"/>
        <v>-</v>
      </c>
      <c r="I1073" s="254" t="str">
        <f t="shared" si="183"/>
        <v>-</v>
      </c>
      <c r="J1073" s="254" t="str">
        <f t="shared" si="183"/>
        <v>-</v>
      </c>
      <c r="K1073" s="254" t="str">
        <f t="shared" si="183"/>
        <v>-</v>
      </c>
      <c r="L1073" s="254" t="str">
        <f t="shared" si="183"/>
        <v>-</v>
      </c>
      <c r="M1073" s="254" t="str">
        <f t="shared" si="183"/>
        <v>-</v>
      </c>
      <c r="N1073" s="255"/>
    </row>
    <row r="1074" spans="1:14" s="256" customFormat="1" hidden="1" outlineLevel="2">
      <c r="A1074" s="178"/>
      <c r="B1074" s="257" t="s">
        <v>191</v>
      </c>
      <c r="C1074" s="253" t="s">
        <v>172</v>
      </c>
      <c r="D1074" s="173">
        <v>-1</v>
      </c>
      <c r="E1074" s="252">
        <f>0.2+0.8*2</f>
        <v>1.8</v>
      </c>
      <c r="F1074" s="252"/>
      <c r="G1074" s="254" t="str">
        <f t="shared" si="183"/>
        <v>-</v>
      </c>
      <c r="H1074" s="254" t="str">
        <f t="shared" si="183"/>
        <v>-</v>
      </c>
      <c r="I1074" s="254" t="str">
        <f t="shared" si="183"/>
        <v>-</v>
      </c>
      <c r="J1074" s="254" t="str">
        <f t="shared" si="183"/>
        <v>-</v>
      </c>
      <c r="K1074" s="254" t="str">
        <f t="shared" si="183"/>
        <v>-</v>
      </c>
      <c r="L1074" s="254" t="str">
        <f t="shared" si="183"/>
        <v>-</v>
      </c>
      <c r="M1074" s="254" t="str">
        <f t="shared" si="183"/>
        <v>-</v>
      </c>
      <c r="N1074" s="255"/>
    </row>
    <row r="1075" spans="1:14" s="256" customFormat="1" hidden="1" outlineLevel="2">
      <c r="A1075" s="178"/>
      <c r="B1075" s="257" t="s">
        <v>195</v>
      </c>
      <c r="C1075" s="253" t="s">
        <v>172</v>
      </c>
      <c r="D1075" s="173">
        <v>-1</v>
      </c>
      <c r="E1075" s="252">
        <v>2.5</v>
      </c>
      <c r="F1075" s="252"/>
      <c r="G1075" s="254" t="str">
        <f t="shared" si="183"/>
        <v>-</v>
      </c>
      <c r="H1075" s="254" t="str">
        <f t="shared" si="183"/>
        <v>-</v>
      </c>
      <c r="I1075" s="254" t="str">
        <f t="shared" si="183"/>
        <v>-</v>
      </c>
      <c r="J1075" s="254" t="str">
        <f t="shared" si="183"/>
        <v>-</v>
      </c>
      <c r="K1075" s="254" t="str">
        <f t="shared" si="183"/>
        <v>-</v>
      </c>
      <c r="L1075" s="254" t="str">
        <f t="shared" si="183"/>
        <v>-</v>
      </c>
      <c r="M1075" s="254" t="str">
        <f t="shared" si="183"/>
        <v>-</v>
      </c>
      <c r="N1075" s="255"/>
    </row>
    <row r="1076" spans="1:14" s="256" customFormat="1" hidden="1" outlineLevel="2">
      <c r="A1076" s="178"/>
      <c r="B1076" s="252" t="s">
        <v>196</v>
      </c>
      <c r="C1076" s="253" t="s">
        <v>173</v>
      </c>
      <c r="D1076" s="173">
        <v>1</v>
      </c>
      <c r="E1076" s="252">
        <f>4.7-0.18*2</f>
        <v>4.34</v>
      </c>
      <c r="F1076" s="252"/>
      <c r="G1076" s="254" t="str">
        <f t="shared" si="183"/>
        <v>-</v>
      </c>
      <c r="H1076" s="254" t="str">
        <f t="shared" si="183"/>
        <v>-</v>
      </c>
      <c r="I1076" s="254">
        <f t="shared" si="183"/>
        <v>4.34</v>
      </c>
      <c r="J1076" s="254" t="str">
        <f t="shared" si="183"/>
        <v>-</v>
      </c>
      <c r="K1076" s="254" t="str">
        <f t="shared" si="183"/>
        <v>-</v>
      </c>
      <c r="L1076" s="254" t="str">
        <f t="shared" si="183"/>
        <v>-</v>
      </c>
      <c r="M1076" s="254" t="str">
        <f t="shared" si="183"/>
        <v>-</v>
      </c>
      <c r="N1076" s="255"/>
    </row>
    <row r="1077" spans="1:14" s="256" customFormat="1" hidden="1" outlineLevel="2">
      <c r="A1077" s="178"/>
      <c r="B1077" s="252" t="s">
        <v>197</v>
      </c>
      <c r="C1077" s="253" t="s">
        <v>175</v>
      </c>
      <c r="D1077" s="173">
        <v>1</v>
      </c>
      <c r="E1077" s="252">
        <f>0.3*0.6*2</f>
        <v>0.36</v>
      </c>
      <c r="F1077" s="252"/>
      <c r="G1077" s="254" t="str">
        <f t="shared" si="183"/>
        <v>-</v>
      </c>
      <c r="H1077" s="254" t="str">
        <f t="shared" si="183"/>
        <v>-</v>
      </c>
      <c r="I1077" s="254" t="str">
        <f t="shared" si="183"/>
        <v>-</v>
      </c>
      <c r="J1077" s="254">
        <f t="shared" si="183"/>
        <v>0.36</v>
      </c>
      <c r="K1077" s="254" t="str">
        <f t="shared" si="183"/>
        <v>-</v>
      </c>
      <c r="L1077" s="254" t="str">
        <f t="shared" si="183"/>
        <v>-</v>
      </c>
      <c r="M1077" s="254" t="str">
        <f t="shared" si="183"/>
        <v>-</v>
      </c>
      <c r="N1077" s="255"/>
    </row>
    <row r="1078" spans="1:14" s="256" customFormat="1" hidden="1" outlineLevel="2">
      <c r="A1078" s="178"/>
      <c r="B1078" s="252" t="s">
        <v>198</v>
      </c>
      <c r="C1078" s="253" t="s">
        <v>174</v>
      </c>
      <c r="D1078" s="173">
        <v>1</v>
      </c>
      <c r="E1078" s="252">
        <v>12.4</v>
      </c>
      <c r="F1078" s="252">
        <v>2.2999999999999998</v>
      </c>
      <c r="G1078" s="254" t="str">
        <f t="shared" si="183"/>
        <v>-</v>
      </c>
      <c r="H1078" s="254" t="str">
        <f t="shared" si="183"/>
        <v>-</v>
      </c>
      <c r="I1078" s="254" t="str">
        <f t="shared" si="183"/>
        <v>-</v>
      </c>
      <c r="J1078" s="254" t="str">
        <f t="shared" si="183"/>
        <v>-</v>
      </c>
      <c r="K1078" s="254" t="str">
        <f t="shared" si="183"/>
        <v>-</v>
      </c>
      <c r="L1078" s="254" t="str">
        <f t="shared" si="183"/>
        <v>-</v>
      </c>
      <c r="M1078" s="254" t="str">
        <f t="shared" si="183"/>
        <v>-</v>
      </c>
      <c r="N1078" s="255"/>
    </row>
    <row r="1079" spans="1:14" s="256" customFormat="1" hidden="1" outlineLevel="2">
      <c r="A1079" s="178"/>
      <c r="B1079" s="257" t="s">
        <v>212</v>
      </c>
      <c r="C1079" s="253" t="s">
        <v>174</v>
      </c>
      <c r="D1079" s="173">
        <v>-1</v>
      </c>
      <c r="E1079" s="252">
        <v>0.8</v>
      </c>
      <c r="F1079" s="252">
        <v>2.2200000000000002</v>
      </c>
      <c r="G1079" s="254" t="str">
        <f t="shared" si="183"/>
        <v>-</v>
      </c>
      <c r="H1079" s="254" t="str">
        <f t="shared" si="183"/>
        <v>-</v>
      </c>
      <c r="I1079" s="254" t="str">
        <f t="shared" si="183"/>
        <v>-</v>
      </c>
      <c r="J1079" s="254" t="str">
        <f t="shared" si="183"/>
        <v>-</v>
      </c>
      <c r="K1079" s="254" t="str">
        <f t="shared" si="183"/>
        <v>-</v>
      </c>
      <c r="L1079" s="254" t="str">
        <f t="shared" si="183"/>
        <v>-</v>
      </c>
      <c r="M1079" s="254" t="str">
        <f t="shared" si="183"/>
        <v>-</v>
      </c>
      <c r="N1079" s="255"/>
    </row>
    <row r="1080" spans="1:14" s="256" customFormat="1" hidden="1" outlineLevel="2">
      <c r="A1080" s="178"/>
      <c r="B1080" s="257" t="s">
        <v>199</v>
      </c>
      <c r="C1080" s="253" t="s">
        <v>174</v>
      </c>
      <c r="D1080" s="173">
        <v>-1</v>
      </c>
      <c r="E1080" s="252">
        <v>1.8</v>
      </c>
      <c r="F1080" s="252">
        <v>1.75</v>
      </c>
      <c r="G1080" s="254" t="str">
        <f t="shared" si="183"/>
        <v>-</v>
      </c>
      <c r="H1080" s="254" t="str">
        <f t="shared" si="183"/>
        <v>-</v>
      </c>
      <c r="I1080" s="254" t="str">
        <f t="shared" si="183"/>
        <v>-</v>
      </c>
      <c r="J1080" s="254" t="str">
        <f t="shared" si="183"/>
        <v>-</v>
      </c>
      <c r="K1080" s="254" t="str">
        <f t="shared" si="183"/>
        <v>-</v>
      </c>
      <c r="L1080" s="254" t="str">
        <f t="shared" si="183"/>
        <v>-</v>
      </c>
      <c r="M1080" s="254" t="str">
        <f t="shared" si="183"/>
        <v>-</v>
      </c>
      <c r="N1080" s="255"/>
    </row>
    <row r="1081" spans="1:14" s="256" customFormat="1" hidden="1" outlineLevel="2">
      <c r="A1081" s="178"/>
      <c r="B1081" s="257" t="s">
        <v>200</v>
      </c>
      <c r="C1081" s="253" t="s">
        <v>174</v>
      </c>
      <c r="D1081" s="173">
        <v>-2</v>
      </c>
      <c r="E1081" s="252">
        <v>0.85</v>
      </c>
      <c r="F1081" s="252">
        <v>0.55000000000000004</v>
      </c>
      <c r="G1081" s="254" t="str">
        <f t="shared" si="183"/>
        <v>-</v>
      </c>
      <c r="H1081" s="254" t="str">
        <f t="shared" si="183"/>
        <v>-</v>
      </c>
      <c r="I1081" s="254" t="str">
        <f t="shared" si="183"/>
        <v>-</v>
      </c>
      <c r="J1081" s="254" t="str">
        <f t="shared" si="183"/>
        <v>-</v>
      </c>
      <c r="K1081" s="254" t="str">
        <f t="shared" si="183"/>
        <v>-</v>
      </c>
      <c r="L1081" s="254" t="str">
        <f t="shared" si="183"/>
        <v>-</v>
      </c>
      <c r="M1081" s="254" t="str">
        <f t="shared" si="183"/>
        <v>-</v>
      </c>
      <c r="N1081" s="255"/>
    </row>
    <row r="1082" spans="1:14" s="256" customFormat="1" hidden="1" outlineLevel="2">
      <c r="A1082" s="178"/>
      <c r="B1082" s="258" t="s">
        <v>201</v>
      </c>
      <c r="C1082" s="253" t="s">
        <v>174</v>
      </c>
      <c r="D1082" s="173">
        <v>1</v>
      </c>
      <c r="E1082" s="252">
        <v>2.15</v>
      </c>
      <c r="F1082" s="252">
        <v>0.25</v>
      </c>
      <c r="G1082" s="254" t="str">
        <f t="shared" si="183"/>
        <v>-</v>
      </c>
      <c r="H1082" s="254" t="str">
        <f t="shared" si="183"/>
        <v>-</v>
      </c>
      <c r="I1082" s="254" t="str">
        <f t="shared" si="183"/>
        <v>-</v>
      </c>
      <c r="J1082" s="254" t="str">
        <f t="shared" si="183"/>
        <v>-</v>
      </c>
      <c r="K1082" s="254" t="str">
        <f t="shared" si="183"/>
        <v>-</v>
      </c>
      <c r="L1082" s="254" t="str">
        <f t="shared" si="183"/>
        <v>-</v>
      </c>
      <c r="M1082" s="254" t="str">
        <f t="shared" si="183"/>
        <v>-</v>
      </c>
      <c r="N1082" s="255"/>
    </row>
    <row r="1083" spans="1:14" s="256" customFormat="1" hidden="1" outlineLevel="2">
      <c r="A1083" s="178"/>
      <c r="B1083" s="252" t="s">
        <v>202</v>
      </c>
      <c r="C1083" s="253" t="s">
        <v>176</v>
      </c>
      <c r="D1083" s="173">
        <v>1</v>
      </c>
      <c r="E1083" s="252">
        <v>2.15</v>
      </c>
      <c r="F1083" s="252">
        <v>0.9</v>
      </c>
      <c r="G1083" s="254" t="str">
        <f t="shared" si="183"/>
        <v>-</v>
      </c>
      <c r="H1083" s="254" t="str">
        <f t="shared" si="183"/>
        <v>-</v>
      </c>
      <c r="I1083" s="254" t="str">
        <f t="shared" si="183"/>
        <v>-</v>
      </c>
      <c r="J1083" s="254" t="str">
        <f t="shared" si="183"/>
        <v>-</v>
      </c>
      <c r="K1083" s="254" t="str">
        <f t="shared" si="183"/>
        <v>-</v>
      </c>
      <c r="L1083" s="254" t="str">
        <f t="shared" si="183"/>
        <v>-</v>
      </c>
      <c r="M1083" s="254" t="str">
        <f t="shared" si="183"/>
        <v>-</v>
      </c>
      <c r="N1083" s="255"/>
    </row>
    <row r="1084" spans="1:14" s="256" customFormat="1" hidden="1" outlineLevel="2">
      <c r="A1084" s="178"/>
      <c r="B1084" s="257" t="s">
        <v>203</v>
      </c>
      <c r="C1084" s="253" t="s">
        <v>176</v>
      </c>
      <c r="D1084" s="173">
        <v>-1</v>
      </c>
      <c r="E1084" s="252">
        <v>1.65</v>
      </c>
      <c r="F1084" s="252">
        <v>0.7</v>
      </c>
      <c r="G1084" s="254" t="str">
        <f t="shared" si="183"/>
        <v>-</v>
      </c>
      <c r="H1084" s="254" t="str">
        <f t="shared" si="183"/>
        <v>-</v>
      </c>
      <c r="I1084" s="254" t="str">
        <f t="shared" si="183"/>
        <v>-</v>
      </c>
      <c r="J1084" s="254" t="str">
        <f t="shared" si="183"/>
        <v>-</v>
      </c>
      <c r="K1084" s="254" t="str">
        <f t="shared" si="183"/>
        <v>-</v>
      </c>
      <c r="L1084" s="254" t="str">
        <f t="shared" si="183"/>
        <v>-</v>
      </c>
      <c r="M1084" s="254" t="str">
        <f t="shared" si="183"/>
        <v>-</v>
      </c>
      <c r="N1084" s="255"/>
    </row>
    <row r="1085" spans="1:14" s="256" customFormat="1" hidden="1" outlineLevel="2">
      <c r="A1085" s="259"/>
      <c r="B1085" s="252"/>
      <c r="C1085" s="253"/>
      <c r="D1085" s="173"/>
      <c r="E1085" s="252"/>
      <c r="F1085" s="252"/>
      <c r="G1085" s="254" t="str">
        <f t="shared" si="183"/>
        <v>-</v>
      </c>
      <c r="H1085" s="254" t="str">
        <f t="shared" si="183"/>
        <v>-</v>
      </c>
      <c r="I1085" s="254" t="str">
        <f t="shared" si="183"/>
        <v>-</v>
      </c>
      <c r="J1085" s="254" t="str">
        <f t="shared" si="183"/>
        <v>-</v>
      </c>
      <c r="K1085" s="254" t="str">
        <f t="shared" si="183"/>
        <v>-</v>
      </c>
      <c r="L1085" s="254" t="str">
        <f t="shared" si="183"/>
        <v>-</v>
      </c>
      <c r="M1085" s="254" t="str">
        <f t="shared" si="183"/>
        <v>-</v>
      </c>
      <c r="N1085" s="255"/>
    </row>
    <row r="1086" spans="1:14" s="251" customFormat="1" ht="15" hidden="1" outlineLevel="1" collapsed="1">
      <c r="A1086" s="245"/>
      <c r="B1086" s="246" t="s">
        <v>220</v>
      </c>
      <c r="C1086" s="245"/>
      <c r="D1086" s="247">
        <v>1</v>
      </c>
      <c r="E1086" s="248"/>
      <c r="F1086" s="248"/>
      <c r="G1086" s="249">
        <f t="shared" ref="G1086:M1086" si="184">SUBTOTAL(9,G1087:G1102)</f>
        <v>23.7</v>
      </c>
      <c r="H1086" s="249">
        <f t="shared" si="184"/>
        <v>28.5</v>
      </c>
      <c r="I1086" s="249">
        <f t="shared" si="184"/>
        <v>9.5400000000000009</v>
      </c>
      <c r="J1086" s="249">
        <f t="shared" si="184"/>
        <v>0.36</v>
      </c>
      <c r="K1086" s="249">
        <f t="shared" si="184"/>
        <v>0</v>
      </c>
      <c r="L1086" s="249">
        <f t="shared" si="184"/>
        <v>0</v>
      </c>
      <c r="M1086" s="249">
        <f t="shared" si="184"/>
        <v>0</v>
      </c>
      <c r="N1086" s="250"/>
    </row>
    <row r="1087" spans="1:14" s="256" customFormat="1" hidden="1" outlineLevel="2">
      <c r="A1087" s="178"/>
      <c r="B1087" s="252" t="s">
        <v>189</v>
      </c>
      <c r="C1087" s="253" t="s">
        <v>169</v>
      </c>
      <c r="D1087" s="173">
        <v>1</v>
      </c>
      <c r="E1087" s="252">
        <v>23.7</v>
      </c>
      <c r="F1087" s="252"/>
      <c r="G1087" s="254">
        <f t="shared" si="183"/>
        <v>23.7</v>
      </c>
      <c r="H1087" s="254" t="str">
        <f t="shared" si="183"/>
        <v>-</v>
      </c>
      <c r="I1087" s="254" t="str">
        <f t="shared" si="183"/>
        <v>-</v>
      </c>
      <c r="J1087" s="254" t="str">
        <f t="shared" si="183"/>
        <v>-</v>
      </c>
      <c r="K1087" s="254" t="str">
        <f t="shared" si="183"/>
        <v>-</v>
      </c>
      <c r="L1087" s="254" t="str">
        <f t="shared" si="183"/>
        <v>-</v>
      </c>
      <c r="M1087" s="254" t="str">
        <f t="shared" si="183"/>
        <v>-</v>
      </c>
      <c r="N1087" s="255"/>
    </row>
    <row r="1088" spans="1:14" s="256" customFormat="1" hidden="1" outlineLevel="2">
      <c r="A1088" s="178"/>
      <c r="B1088" s="252" t="s">
        <v>190</v>
      </c>
      <c r="C1088" s="253" t="s">
        <v>170</v>
      </c>
      <c r="D1088" s="173">
        <v>1</v>
      </c>
      <c r="E1088" s="252">
        <v>22</v>
      </c>
      <c r="F1088" s="252"/>
      <c r="G1088" s="254" t="str">
        <f t="shared" si="183"/>
        <v>-</v>
      </c>
      <c r="H1088" s="254" t="str">
        <f t="shared" si="183"/>
        <v>-</v>
      </c>
      <c r="I1088" s="254" t="str">
        <f t="shared" si="183"/>
        <v>-</v>
      </c>
      <c r="J1088" s="254" t="str">
        <f t="shared" si="183"/>
        <v>-</v>
      </c>
      <c r="K1088" s="254" t="str">
        <f t="shared" si="183"/>
        <v>-</v>
      </c>
      <c r="L1088" s="254" t="str">
        <f t="shared" si="183"/>
        <v>-</v>
      </c>
      <c r="M1088" s="254" t="str">
        <f t="shared" si="183"/>
        <v>-</v>
      </c>
      <c r="N1088" s="255"/>
    </row>
    <row r="1089" spans="1:14" s="256" customFormat="1" hidden="1" outlineLevel="2">
      <c r="A1089" s="178"/>
      <c r="B1089" s="257" t="s">
        <v>191</v>
      </c>
      <c r="C1089" s="253" t="s">
        <v>170</v>
      </c>
      <c r="D1089" s="173">
        <v>-1</v>
      </c>
      <c r="E1089" s="252">
        <v>0.8</v>
      </c>
      <c r="F1089" s="252"/>
      <c r="G1089" s="254" t="str">
        <f t="shared" si="183"/>
        <v>-</v>
      </c>
      <c r="H1089" s="254" t="str">
        <f t="shared" si="183"/>
        <v>-</v>
      </c>
      <c r="I1089" s="254" t="str">
        <f t="shared" si="183"/>
        <v>-</v>
      </c>
      <c r="J1089" s="254" t="str">
        <f t="shared" si="183"/>
        <v>-</v>
      </c>
      <c r="K1089" s="254" t="str">
        <f t="shared" si="183"/>
        <v>-</v>
      </c>
      <c r="L1089" s="254" t="str">
        <f t="shared" si="183"/>
        <v>-</v>
      </c>
      <c r="M1089" s="254" t="str">
        <f t="shared" si="183"/>
        <v>-</v>
      </c>
      <c r="N1089" s="255"/>
    </row>
    <row r="1090" spans="1:14" s="256" customFormat="1" hidden="1" outlineLevel="2">
      <c r="A1090" s="178"/>
      <c r="B1090" s="257" t="s">
        <v>192</v>
      </c>
      <c r="C1090" s="253" t="s">
        <v>170</v>
      </c>
      <c r="D1090" s="173">
        <v>-1</v>
      </c>
      <c r="E1090" s="252">
        <v>2.8</v>
      </c>
      <c r="F1090" s="252"/>
      <c r="G1090" s="254" t="str">
        <f t="shared" si="183"/>
        <v>-</v>
      </c>
      <c r="H1090" s="254" t="str">
        <f t="shared" si="183"/>
        <v>-</v>
      </c>
      <c r="I1090" s="254" t="str">
        <f t="shared" si="183"/>
        <v>-</v>
      </c>
      <c r="J1090" s="254" t="str">
        <f t="shared" si="183"/>
        <v>-</v>
      </c>
      <c r="K1090" s="254" t="str">
        <f t="shared" si="183"/>
        <v>-</v>
      </c>
      <c r="L1090" s="254" t="str">
        <f t="shared" si="183"/>
        <v>-</v>
      </c>
      <c r="M1090" s="254" t="str">
        <f t="shared" si="183"/>
        <v>-</v>
      </c>
      <c r="N1090" s="255"/>
    </row>
    <row r="1091" spans="1:14" s="256" customFormat="1" hidden="1" outlineLevel="2">
      <c r="A1091" s="178"/>
      <c r="B1091" s="252" t="s">
        <v>193</v>
      </c>
      <c r="C1091" s="253" t="s">
        <v>171</v>
      </c>
      <c r="D1091" s="173">
        <v>1</v>
      </c>
      <c r="E1091" s="252">
        <v>28.5</v>
      </c>
      <c r="F1091" s="252"/>
      <c r="G1091" s="254" t="str">
        <f t="shared" si="183"/>
        <v>-</v>
      </c>
      <c r="H1091" s="254">
        <f t="shared" si="183"/>
        <v>28.5</v>
      </c>
      <c r="I1091" s="254" t="str">
        <f t="shared" si="183"/>
        <v>-</v>
      </c>
      <c r="J1091" s="254" t="str">
        <f t="shared" si="183"/>
        <v>-</v>
      </c>
      <c r="K1091" s="254" t="str">
        <f t="shared" si="183"/>
        <v>-</v>
      </c>
      <c r="L1091" s="254" t="str">
        <f t="shared" si="183"/>
        <v>-</v>
      </c>
      <c r="M1091" s="254" t="str">
        <f t="shared" si="183"/>
        <v>-</v>
      </c>
      <c r="N1091" s="255"/>
    </row>
    <row r="1092" spans="1:14" s="256" customFormat="1" hidden="1" outlineLevel="2">
      <c r="A1092" s="178"/>
      <c r="B1092" s="252" t="s">
        <v>194</v>
      </c>
      <c r="C1092" s="253" t="s">
        <v>172</v>
      </c>
      <c r="D1092" s="173">
        <v>1</v>
      </c>
      <c r="E1092" s="252">
        <v>26.3</v>
      </c>
      <c r="F1092" s="252"/>
      <c r="G1092" s="254" t="str">
        <f t="shared" si="183"/>
        <v>-</v>
      </c>
      <c r="H1092" s="254" t="str">
        <f t="shared" ref="H1092:M1092" si="185">IF($C1092=H$5,PRODUCT($D1092:$F1092),"-")</f>
        <v>-</v>
      </c>
      <c r="I1092" s="254" t="str">
        <f t="shared" si="185"/>
        <v>-</v>
      </c>
      <c r="J1092" s="254" t="str">
        <f t="shared" si="185"/>
        <v>-</v>
      </c>
      <c r="K1092" s="254" t="str">
        <f t="shared" si="185"/>
        <v>-</v>
      </c>
      <c r="L1092" s="254" t="str">
        <f t="shared" si="185"/>
        <v>-</v>
      </c>
      <c r="M1092" s="254" t="str">
        <f t="shared" si="185"/>
        <v>-</v>
      </c>
      <c r="N1092" s="255"/>
    </row>
    <row r="1093" spans="1:14" s="256" customFormat="1" hidden="1" outlineLevel="2">
      <c r="A1093" s="178"/>
      <c r="B1093" s="257" t="s">
        <v>191</v>
      </c>
      <c r="C1093" s="253" t="s">
        <v>172</v>
      </c>
      <c r="D1093" s="173">
        <v>-1</v>
      </c>
      <c r="E1093" s="252">
        <f>1.2+0.8*3</f>
        <v>3.6000000000000005</v>
      </c>
      <c r="F1093" s="252"/>
      <c r="G1093" s="254" t="str">
        <f t="shared" ref="G1093:M1102" si="186">IF($C1093=G$5,PRODUCT($D1093:$F1093),"-")</f>
        <v>-</v>
      </c>
      <c r="H1093" s="254" t="str">
        <f t="shared" si="186"/>
        <v>-</v>
      </c>
      <c r="I1093" s="254" t="str">
        <f t="shared" si="186"/>
        <v>-</v>
      </c>
      <c r="J1093" s="254" t="str">
        <f t="shared" si="186"/>
        <v>-</v>
      </c>
      <c r="K1093" s="254" t="str">
        <f t="shared" si="186"/>
        <v>-</v>
      </c>
      <c r="L1093" s="254" t="str">
        <f t="shared" si="186"/>
        <v>-</v>
      </c>
      <c r="M1093" s="254" t="str">
        <f t="shared" si="186"/>
        <v>-</v>
      </c>
      <c r="N1093" s="255"/>
    </row>
    <row r="1094" spans="1:14" s="256" customFormat="1" hidden="1" outlineLevel="2">
      <c r="A1094" s="178"/>
      <c r="B1094" s="252" t="s">
        <v>196</v>
      </c>
      <c r="C1094" s="253" t="s">
        <v>173</v>
      </c>
      <c r="D1094" s="173">
        <v>1</v>
      </c>
      <c r="E1094" s="252">
        <f>5.4+4.5-0.36</f>
        <v>9.5400000000000009</v>
      </c>
      <c r="F1094" s="252"/>
      <c r="G1094" s="254" t="str">
        <f t="shared" si="186"/>
        <v>-</v>
      </c>
      <c r="H1094" s="254" t="str">
        <f t="shared" si="186"/>
        <v>-</v>
      </c>
      <c r="I1094" s="254">
        <f t="shared" si="186"/>
        <v>9.5400000000000009</v>
      </c>
      <c r="J1094" s="254" t="str">
        <f t="shared" si="186"/>
        <v>-</v>
      </c>
      <c r="K1094" s="254" t="str">
        <f t="shared" si="186"/>
        <v>-</v>
      </c>
      <c r="L1094" s="254" t="str">
        <f t="shared" si="186"/>
        <v>-</v>
      </c>
      <c r="M1094" s="254" t="str">
        <f t="shared" si="186"/>
        <v>-</v>
      </c>
      <c r="N1094" s="255"/>
    </row>
    <row r="1095" spans="1:14" s="256" customFormat="1" hidden="1" outlineLevel="2">
      <c r="A1095" s="178"/>
      <c r="B1095" s="252" t="s">
        <v>197</v>
      </c>
      <c r="C1095" s="253" t="s">
        <v>175</v>
      </c>
      <c r="D1095" s="173">
        <v>1</v>
      </c>
      <c r="E1095" s="252">
        <f>0.3*0.6*2</f>
        <v>0.36</v>
      </c>
      <c r="F1095" s="252"/>
      <c r="G1095" s="254" t="str">
        <f t="shared" si="186"/>
        <v>-</v>
      </c>
      <c r="H1095" s="254" t="str">
        <f t="shared" si="186"/>
        <v>-</v>
      </c>
      <c r="I1095" s="254" t="str">
        <f t="shared" si="186"/>
        <v>-</v>
      </c>
      <c r="J1095" s="254">
        <f t="shared" si="186"/>
        <v>0.36</v>
      </c>
      <c r="K1095" s="254" t="str">
        <f t="shared" si="186"/>
        <v>-</v>
      </c>
      <c r="L1095" s="254" t="str">
        <f t="shared" si="186"/>
        <v>-</v>
      </c>
      <c r="M1095" s="254" t="str">
        <f t="shared" si="186"/>
        <v>-</v>
      </c>
      <c r="N1095" s="255"/>
    </row>
    <row r="1096" spans="1:14" s="256" customFormat="1" hidden="1" outlineLevel="2">
      <c r="A1096" s="178"/>
      <c r="B1096" s="252" t="s">
        <v>198</v>
      </c>
      <c r="C1096" s="253" t="s">
        <v>174</v>
      </c>
      <c r="D1096" s="173">
        <v>1</v>
      </c>
      <c r="E1096" s="252">
        <f>13.5+8.4</f>
        <v>21.9</v>
      </c>
      <c r="F1096" s="252">
        <v>2.2999999999999998</v>
      </c>
      <c r="G1096" s="254" t="str">
        <f t="shared" si="186"/>
        <v>-</v>
      </c>
      <c r="H1096" s="254" t="str">
        <f t="shared" si="186"/>
        <v>-</v>
      </c>
      <c r="I1096" s="254" t="str">
        <f t="shared" si="186"/>
        <v>-</v>
      </c>
      <c r="J1096" s="254" t="str">
        <f t="shared" si="186"/>
        <v>-</v>
      </c>
      <c r="K1096" s="254" t="str">
        <f t="shared" si="186"/>
        <v>-</v>
      </c>
      <c r="L1096" s="254" t="str">
        <f t="shared" si="186"/>
        <v>-</v>
      </c>
      <c r="M1096" s="254" t="str">
        <f t="shared" si="186"/>
        <v>-</v>
      </c>
      <c r="N1096" s="255"/>
    </row>
    <row r="1097" spans="1:14" s="256" customFormat="1" hidden="1" outlineLevel="2">
      <c r="A1097" s="178"/>
      <c r="B1097" s="257" t="s">
        <v>212</v>
      </c>
      <c r="C1097" s="253" t="s">
        <v>174</v>
      </c>
      <c r="D1097" s="173">
        <v>-2</v>
      </c>
      <c r="E1097" s="252">
        <v>0.8</v>
      </c>
      <c r="F1097" s="252">
        <v>2.2200000000000002</v>
      </c>
      <c r="G1097" s="254" t="str">
        <f t="shared" si="186"/>
        <v>-</v>
      </c>
      <c r="H1097" s="254" t="str">
        <f t="shared" si="186"/>
        <v>-</v>
      </c>
      <c r="I1097" s="254" t="str">
        <f t="shared" si="186"/>
        <v>-</v>
      </c>
      <c r="J1097" s="254" t="str">
        <f t="shared" si="186"/>
        <v>-</v>
      </c>
      <c r="K1097" s="254" t="str">
        <f t="shared" si="186"/>
        <v>-</v>
      </c>
      <c r="L1097" s="254" t="str">
        <f t="shared" si="186"/>
        <v>-</v>
      </c>
      <c r="M1097" s="254" t="str">
        <f t="shared" si="186"/>
        <v>-</v>
      </c>
      <c r="N1097" s="255"/>
    </row>
    <row r="1098" spans="1:14" s="256" customFormat="1" hidden="1" outlineLevel="2">
      <c r="A1098" s="178"/>
      <c r="B1098" s="257" t="s">
        <v>199</v>
      </c>
      <c r="C1098" s="253" t="s">
        <v>174</v>
      </c>
      <c r="D1098" s="173">
        <v>-1</v>
      </c>
      <c r="E1098" s="252">
        <f>1.4+0.95</f>
        <v>2.3499999999999996</v>
      </c>
      <c r="F1098" s="252">
        <v>1.45</v>
      </c>
      <c r="G1098" s="254" t="str">
        <f t="shared" si="186"/>
        <v>-</v>
      </c>
      <c r="H1098" s="254" t="str">
        <f t="shared" si="186"/>
        <v>-</v>
      </c>
      <c r="I1098" s="254" t="str">
        <f t="shared" si="186"/>
        <v>-</v>
      </c>
      <c r="J1098" s="254" t="str">
        <f t="shared" si="186"/>
        <v>-</v>
      </c>
      <c r="K1098" s="254" t="str">
        <f t="shared" si="186"/>
        <v>-</v>
      </c>
      <c r="L1098" s="254" t="str">
        <f t="shared" si="186"/>
        <v>-</v>
      </c>
      <c r="M1098" s="254" t="str">
        <f t="shared" si="186"/>
        <v>-</v>
      </c>
      <c r="N1098" s="255"/>
    </row>
    <row r="1099" spans="1:14" s="256" customFormat="1" hidden="1" outlineLevel="2">
      <c r="A1099" s="178"/>
      <c r="B1099" s="258" t="s">
        <v>201</v>
      </c>
      <c r="C1099" s="253" t="s">
        <v>174</v>
      </c>
      <c r="D1099" s="173">
        <v>1</v>
      </c>
      <c r="E1099" s="252">
        <f>E1098+0.4</f>
        <v>2.7499999999999996</v>
      </c>
      <c r="F1099" s="252">
        <v>0.25</v>
      </c>
      <c r="G1099" s="254" t="str">
        <f t="shared" si="186"/>
        <v>-</v>
      </c>
      <c r="H1099" s="254" t="str">
        <f t="shared" si="186"/>
        <v>-</v>
      </c>
      <c r="I1099" s="254" t="str">
        <f t="shared" si="186"/>
        <v>-</v>
      </c>
      <c r="J1099" s="254" t="str">
        <f t="shared" si="186"/>
        <v>-</v>
      </c>
      <c r="K1099" s="254" t="str">
        <f t="shared" si="186"/>
        <v>-</v>
      </c>
      <c r="L1099" s="254" t="str">
        <f t="shared" si="186"/>
        <v>-</v>
      </c>
      <c r="M1099" s="254" t="str">
        <f t="shared" si="186"/>
        <v>-</v>
      </c>
      <c r="N1099" s="255"/>
    </row>
    <row r="1100" spans="1:14" s="256" customFormat="1" hidden="1" outlineLevel="2">
      <c r="A1100" s="178"/>
      <c r="B1100" s="252" t="s">
        <v>202</v>
      </c>
      <c r="C1100" s="253" t="s">
        <v>176</v>
      </c>
      <c r="D1100" s="173">
        <v>1</v>
      </c>
      <c r="E1100" s="252">
        <v>2.2000000000000002</v>
      </c>
      <c r="F1100" s="252">
        <v>1.6</v>
      </c>
      <c r="G1100" s="254" t="str">
        <f t="shared" si="186"/>
        <v>-</v>
      </c>
      <c r="H1100" s="254" t="str">
        <f t="shared" si="186"/>
        <v>-</v>
      </c>
      <c r="I1100" s="254" t="str">
        <f t="shared" si="186"/>
        <v>-</v>
      </c>
      <c r="J1100" s="254" t="str">
        <f t="shared" si="186"/>
        <v>-</v>
      </c>
      <c r="K1100" s="254" t="str">
        <f t="shared" si="186"/>
        <v>-</v>
      </c>
      <c r="L1100" s="254" t="str">
        <f t="shared" si="186"/>
        <v>-</v>
      </c>
      <c r="M1100" s="254" t="str">
        <f t="shared" si="186"/>
        <v>-</v>
      </c>
      <c r="N1100" s="255"/>
    </row>
    <row r="1101" spans="1:14" s="256" customFormat="1" hidden="1" outlineLevel="2">
      <c r="A1101" s="178"/>
      <c r="B1101" s="257" t="s">
        <v>203</v>
      </c>
      <c r="C1101" s="253" t="s">
        <v>176</v>
      </c>
      <c r="D1101" s="173">
        <v>-1</v>
      </c>
      <c r="E1101" s="252">
        <v>1.9</v>
      </c>
      <c r="F1101" s="252">
        <v>1.1000000000000001</v>
      </c>
      <c r="G1101" s="254" t="str">
        <f t="shared" si="186"/>
        <v>-</v>
      </c>
      <c r="H1101" s="254" t="str">
        <f t="shared" si="186"/>
        <v>-</v>
      </c>
      <c r="I1101" s="254" t="str">
        <f t="shared" si="186"/>
        <v>-</v>
      </c>
      <c r="J1101" s="254" t="str">
        <f t="shared" si="186"/>
        <v>-</v>
      </c>
      <c r="K1101" s="254" t="str">
        <f t="shared" si="186"/>
        <v>-</v>
      </c>
      <c r="L1101" s="254" t="str">
        <f t="shared" si="186"/>
        <v>-</v>
      </c>
      <c r="M1101" s="254" t="str">
        <f t="shared" si="186"/>
        <v>-</v>
      </c>
      <c r="N1101" s="255"/>
    </row>
    <row r="1102" spans="1:14" s="256" customFormat="1" hidden="1" outlineLevel="2">
      <c r="A1102" s="259"/>
      <c r="B1102" s="252"/>
      <c r="C1102" s="253"/>
      <c r="D1102" s="173"/>
      <c r="E1102" s="252"/>
      <c r="F1102" s="252"/>
      <c r="G1102" s="254" t="str">
        <f t="shared" si="186"/>
        <v>-</v>
      </c>
      <c r="H1102" s="254" t="str">
        <f t="shared" si="186"/>
        <v>-</v>
      </c>
      <c r="I1102" s="254" t="str">
        <f t="shared" si="186"/>
        <v>-</v>
      </c>
      <c r="J1102" s="254" t="str">
        <f t="shared" si="186"/>
        <v>-</v>
      </c>
      <c r="K1102" s="254" t="str">
        <f t="shared" si="186"/>
        <v>-</v>
      </c>
      <c r="L1102" s="254" t="str">
        <f t="shared" si="186"/>
        <v>-</v>
      </c>
      <c r="M1102" s="254" t="str">
        <f t="shared" si="186"/>
        <v>-</v>
      </c>
      <c r="N1102" s="255"/>
    </row>
    <row r="1103" spans="1:14" s="251" customFormat="1" ht="15" hidden="1" outlineLevel="1" collapsed="1">
      <c r="A1103" s="245"/>
      <c r="B1103" s="246" t="s">
        <v>259</v>
      </c>
      <c r="C1103" s="245"/>
      <c r="D1103" s="247">
        <v>1</v>
      </c>
      <c r="E1103" s="248"/>
      <c r="F1103" s="248"/>
      <c r="G1103" s="249">
        <f t="shared" ref="G1103:M1103" si="187">SUBTOTAL(9,G1104:G1120)</f>
        <v>33.1</v>
      </c>
      <c r="H1103" s="249">
        <f t="shared" si="187"/>
        <v>3.4</v>
      </c>
      <c r="I1103" s="249">
        <f t="shared" si="187"/>
        <v>3.8400000000000003</v>
      </c>
      <c r="J1103" s="249">
        <f t="shared" si="187"/>
        <v>0.72</v>
      </c>
      <c r="K1103" s="249">
        <f t="shared" si="187"/>
        <v>0</v>
      </c>
      <c r="L1103" s="249">
        <f t="shared" si="187"/>
        <v>0</v>
      </c>
      <c r="M1103" s="249">
        <f t="shared" si="187"/>
        <v>0</v>
      </c>
      <c r="N1103" s="250"/>
    </row>
    <row r="1104" spans="1:14" s="256" customFormat="1" hidden="1" outlineLevel="2">
      <c r="A1104" s="178"/>
      <c r="B1104" s="252" t="s">
        <v>189</v>
      </c>
      <c r="C1104" s="253" t="s">
        <v>169</v>
      </c>
      <c r="D1104" s="173">
        <v>1</v>
      </c>
      <c r="E1104" s="252">
        <v>33.1</v>
      </c>
      <c r="F1104" s="252"/>
      <c r="G1104" s="254">
        <f t="shared" ref="G1104:M1119" si="188">IF($C1104=G$5,PRODUCT($D1104:$F1104),"-")</f>
        <v>33.1</v>
      </c>
      <c r="H1104" s="254" t="str">
        <f t="shared" si="188"/>
        <v>-</v>
      </c>
      <c r="I1104" s="254" t="str">
        <f t="shared" si="188"/>
        <v>-</v>
      </c>
      <c r="J1104" s="254" t="str">
        <f t="shared" si="188"/>
        <v>-</v>
      </c>
      <c r="K1104" s="254" t="str">
        <f t="shared" si="188"/>
        <v>-</v>
      </c>
      <c r="L1104" s="254" t="str">
        <f t="shared" si="188"/>
        <v>-</v>
      </c>
      <c r="M1104" s="254" t="str">
        <f t="shared" si="188"/>
        <v>-</v>
      </c>
      <c r="N1104" s="255"/>
    </row>
    <row r="1105" spans="1:14" s="256" customFormat="1" hidden="1" outlineLevel="2">
      <c r="A1105" s="178"/>
      <c r="B1105" s="252" t="s">
        <v>190</v>
      </c>
      <c r="C1105" s="253" t="s">
        <v>170</v>
      </c>
      <c r="D1105" s="173">
        <v>1</v>
      </c>
      <c r="E1105" s="252">
        <v>25.6</v>
      </c>
      <c r="F1105" s="252"/>
      <c r="G1105" s="254" t="str">
        <f t="shared" si="188"/>
        <v>-</v>
      </c>
      <c r="H1105" s="254" t="str">
        <f t="shared" si="188"/>
        <v>-</v>
      </c>
      <c r="I1105" s="254" t="str">
        <f t="shared" si="188"/>
        <v>-</v>
      </c>
      <c r="J1105" s="254" t="str">
        <f t="shared" si="188"/>
        <v>-</v>
      </c>
      <c r="K1105" s="254" t="str">
        <f t="shared" si="188"/>
        <v>-</v>
      </c>
      <c r="L1105" s="254" t="str">
        <f t="shared" si="188"/>
        <v>-</v>
      </c>
      <c r="M1105" s="254" t="str">
        <f t="shared" si="188"/>
        <v>-</v>
      </c>
      <c r="N1105" s="255"/>
    </row>
    <row r="1106" spans="1:14" s="256" customFormat="1" hidden="1" outlineLevel="2">
      <c r="A1106" s="178"/>
      <c r="B1106" s="257" t="s">
        <v>191</v>
      </c>
      <c r="C1106" s="253" t="s">
        <v>170</v>
      </c>
      <c r="D1106" s="173">
        <v>-3</v>
      </c>
      <c r="E1106" s="252">
        <v>0.9</v>
      </c>
      <c r="F1106" s="252"/>
      <c r="G1106" s="254" t="str">
        <f t="shared" si="188"/>
        <v>-</v>
      </c>
      <c r="H1106" s="254" t="str">
        <f t="shared" si="188"/>
        <v>-</v>
      </c>
      <c r="I1106" s="254" t="str">
        <f t="shared" si="188"/>
        <v>-</v>
      </c>
      <c r="J1106" s="254" t="str">
        <f t="shared" si="188"/>
        <v>-</v>
      </c>
      <c r="K1106" s="254" t="str">
        <f t="shared" si="188"/>
        <v>-</v>
      </c>
      <c r="L1106" s="254" t="str">
        <f t="shared" si="188"/>
        <v>-</v>
      </c>
      <c r="M1106" s="254" t="str">
        <f t="shared" si="188"/>
        <v>-</v>
      </c>
      <c r="N1106" s="255"/>
    </row>
    <row r="1107" spans="1:14" s="256" customFormat="1" hidden="1" outlineLevel="2">
      <c r="A1107" s="178"/>
      <c r="B1107" s="257" t="s">
        <v>192</v>
      </c>
      <c r="C1107" s="253" t="s">
        <v>170</v>
      </c>
      <c r="D1107" s="173">
        <v>-1</v>
      </c>
      <c r="E1107" s="252">
        <v>2.8</v>
      </c>
      <c r="F1107" s="252"/>
      <c r="G1107" s="254" t="str">
        <f t="shared" si="188"/>
        <v>-</v>
      </c>
      <c r="H1107" s="254" t="str">
        <f t="shared" si="188"/>
        <v>-</v>
      </c>
      <c r="I1107" s="254" t="str">
        <f t="shared" si="188"/>
        <v>-</v>
      </c>
      <c r="J1107" s="254" t="str">
        <f t="shared" si="188"/>
        <v>-</v>
      </c>
      <c r="K1107" s="254" t="str">
        <f t="shared" si="188"/>
        <v>-</v>
      </c>
      <c r="L1107" s="254" t="str">
        <f t="shared" si="188"/>
        <v>-</v>
      </c>
      <c r="M1107" s="254" t="str">
        <f t="shared" si="188"/>
        <v>-</v>
      </c>
      <c r="N1107" s="255"/>
    </row>
    <row r="1108" spans="1:14" s="256" customFormat="1" hidden="1" outlineLevel="2">
      <c r="A1108" s="178"/>
      <c r="B1108" s="252" t="s">
        <v>193</v>
      </c>
      <c r="C1108" s="253" t="s">
        <v>171</v>
      </c>
      <c r="D1108" s="173">
        <v>1</v>
      </c>
      <c r="E1108" s="252">
        <v>3.4</v>
      </c>
      <c r="F1108" s="252"/>
      <c r="G1108" s="254" t="str">
        <f t="shared" si="188"/>
        <v>-</v>
      </c>
      <c r="H1108" s="254">
        <f t="shared" si="188"/>
        <v>3.4</v>
      </c>
      <c r="I1108" s="254" t="str">
        <f t="shared" si="188"/>
        <v>-</v>
      </c>
      <c r="J1108" s="254" t="str">
        <f t="shared" si="188"/>
        <v>-</v>
      </c>
      <c r="K1108" s="254" t="str">
        <f t="shared" si="188"/>
        <v>-</v>
      </c>
      <c r="L1108" s="254" t="str">
        <f t="shared" si="188"/>
        <v>-</v>
      </c>
      <c r="M1108" s="254" t="str">
        <f t="shared" si="188"/>
        <v>-</v>
      </c>
      <c r="N1108" s="255"/>
    </row>
    <row r="1109" spans="1:14" s="256" customFormat="1" hidden="1" outlineLevel="2">
      <c r="A1109" s="178"/>
      <c r="B1109" s="252" t="s">
        <v>194</v>
      </c>
      <c r="C1109" s="253" t="s">
        <v>172</v>
      </c>
      <c r="D1109" s="173">
        <v>1</v>
      </c>
      <c r="E1109" s="252">
        <v>8.1</v>
      </c>
      <c r="F1109" s="252"/>
      <c r="G1109" s="254" t="str">
        <f t="shared" si="188"/>
        <v>-</v>
      </c>
      <c r="H1109" s="254" t="str">
        <f t="shared" si="188"/>
        <v>-</v>
      </c>
      <c r="I1109" s="254" t="str">
        <f t="shared" si="188"/>
        <v>-</v>
      </c>
      <c r="J1109" s="254" t="str">
        <f t="shared" si="188"/>
        <v>-</v>
      </c>
      <c r="K1109" s="254" t="str">
        <f t="shared" si="188"/>
        <v>-</v>
      </c>
      <c r="L1109" s="254" t="str">
        <f t="shared" si="188"/>
        <v>-</v>
      </c>
      <c r="M1109" s="254" t="str">
        <f t="shared" si="188"/>
        <v>-</v>
      </c>
      <c r="N1109" s="255"/>
    </row>
    <row r="1110" spans="1:14" s="256" customFormat="1" hidden="1" outlineLevel="2">
      <c r="A1110" s="178"/>
      <c r="B1110" s="257" t="s">
        <v>191</v>
      </c>
      <c r="C1110" s="253" t="s">
        <v>172</v>
      </c>
      <c r="D1110" s="173">
        <v>-1</v>
      </c>
      <c r="E1110" s="252">
        <v>0.9</v>
      </c>
      <c r="F1110" s="252"/>
      <c r="G1110" s="254" t="str">
        <f t="shared" si="188"/>
        <v>-</v>
      </c>
      <c r="H1110" s="254" t="str">
        <f t="shared" si="188"/>
        <v>-</v>
      </c>
      <c r="I1110" s="254" t="str">
        <f t="shared" si="188"/>
        <v>-</v>
      </c>
      <c r="J1110" s="254" t="str">
        <f t="shared" si="188"/>
        <v>-</v>
      </c>
      <c r="K1110" s="254" t="str">
        <f t="shared" si="188"/>
        <v>-</v>
      </c>
      <c r="L1110" s="254" t="str">
        <f t="shared" si="188"/>
        <v>-</v>
      </c>
      <c r="M1110" s="254" t="str">
        <f t="shared" si="188"/>
        <v>-</v>
      </c>
      <c r="N1110" s="255"/>
    </row>
    <row r="1111" spans="1:14" s="256" customFormat="1" hidden="1" outlineLevel="2">
      <c r="A1111" s="178"/>
      <c r="B1111" s="257" t="s">
        <v>195</v>
      </c>
      <c r="C1111" s="253" t="s">
        <v>172</v>
      </c>
      <c r="D1111" s="173">
        <v>-1</v>
      </c>
      <c r="E1111" s="252">
        <v>2.4</v>
      </c>
      <c r="F1111" s="252"/>
      <c r="G1111" s="254" t="str">
        <f t="shared" si="188"/>
        <v>-</v>
      </c>
      <c r="H1111" s="254" t="str">
        <f t="shared" si="188"/>
        <v>-</v>
      </c>
      <c r="I1111" s="254" t="str">
        <f t="shared" si="188"/>
        <v>-</v>
      </c>
      <c r="J1111" s="254" t="str">
        <f t="shared" si="188"/>
        <v>-</v>
      </c>
      <c r="K1111" s="254" t="str">
        <f t="shared" si="188"/>
        <v>-</v>
      </c>
      <c r="L1111" s="254" t="str">
        <f t="shared" si="188"/>
        <v>-</v>
      </c>
      <c r="M1111" s="254" t="str">
        <f t="shared" si="188"/>
        <v>-</v>
      </c>
      <c r="N1111" s="255"/>
    </row>
    <row r="1112" spans="1:14" s="256" customFormat="1" hidden="1" outlineLevel="2">
      <c r="A1112" s="178"/>
      <c r="B1112" s="252" t="s">
        <v>196</v>
      </c>
      <c r="C1112" s="253" t="s">
        <v>173</v>
      </c>
      <c r="D1112" s="173">
        <v>1</v>
      </c>
      <c r="E1112" s="252">
        <f>4.2-E1113</f>
        <v>3.8400000000000003</v>
      </c>
      <c r="F1112" s="252"/>
      <c r="G1112" s="254" t="str">
        <f t="shared" si="188"/>
        <v>-</v>
      </c>
      <c r="H1112" s="254" t="str">
        <f t="shared" si="188"/>
        <v>-</v>
      </c>
      <c r="I1112" s="254">
        <f t="shared" si="188"/>
        <v>3.8400000000000003</v>
      </c>
      <c r="J1112" s="254" t="str">
        <f t="shared" si="188"/>
        <v>-</v>
      </c>
      <c r="K1112" s="254" t="str">
        <f t="shared" si="188"/>
        <v>-</v>
      </c>
      <c r="L1112" s="254" t="str">
        <f t="shared" si="188"/>
        <v>-</v>
      </c>
      <c r="M1112" s="254" t="str">
        <f t="shared" si="188"/>
        <v>-</v>
      </c>
      <c r="N1112" s="255"/>
    </row>
    <row r="1113" spans="1:14" s="256" customFormat="1" hidden="1" outlineLevel="2">
      <c r="A1113" s="178"/>
      <c r="B1113" s="252" t="s">
        <v>197</v>
      </c>
      <c r="C1113" s="253" t="s">
        <v>175</v>
      </c>
      <c r="D1113" s="173">
        <v>2</v>
      </c>
      <c r="E1113" s="252">
        <f>0.3*0.6*2</f>
        <v>0.36</v>
      </c>
      <c r="F1113" s="252"/>
      <c r="G1113" s="254" t="str">
        <f t="shared" si="188"/>
        <v>-</v>
      </c>
      <c r="H1113" s="254" t="str">
        <f t="shared" si="188"/>
        <v>-</v>
      </c>
      <c r="I1113" s="254" t="str">
        <f t="shared" si="188"/>
        <v>-</v>
      </c>
      <c r="J1113" s="254">
        <f t="shared" si="188"/>
        <v>0.72</v>
      </c>
      <c r="K1113" s="254" t="str">
        <f t="shared" si="188"/>
        <v>-</v>
      </c>
      <c r="L1113" s="254" t="str">
        <f t="shared" si="188"/>
        <v>-</v>
      </c>
      <c r="M1113" s="254" t="str">
        <f t="shared" si="188"/>
        <v>-</v>
      </c>
      <c r="N1113" s="255"/>
    </row>
    <row r="1114" spans="1:14" s="256" customFormat="1" hidden="1" outlineLevel="2">
      <c r="A1114" s="178"/>
      <c r="B1114" s="252" t="s">
        <v>198</v>
      </c>
      <c r="C1114" s="253" t="s">
        <v>174</v>
      </c>
      <c r="D1114" s="173">
        <v>1</v>
      </c>
      <c r="E1114" s="252">
        <v>12</v>
      </c>
      <c r="F1114" s="252">
        <v>2.2999999999999998</v>
      </c>
      <c r="G1114" s="254" t="str">
        <f t="shared" si="188"/>
        <v>-</v>
      </c>
      <c r="H1114" s="254" t="str">
        <f t="shared" si="188"/>
        <v>-</v>
      </c>
      <c r="I1114" s="254" t="str">
        <f t="shared" si="188"/>
        <v>-</v>
      </c>
      <c r="J1114" s="254" t="str">
        <f t="shared" si="188"/>
        <v>-</v>
      </c>
      <c r="K1114" s="254" t="str">
        <f t="shared" si="188"/>
        <v>-</v>
      </c>
      <c r="L1114" s="254" t="str">
        <f t="shared" si="188"/>
        <v>-</v>
      </c>
      <c r="M1114" s="254" t="str">
        <f t="shared" si="188"/>
        <v>-</v>
      </c>
      <c r="N1114" s="255"/>
    </row>
    <row r="1115" spans="1:14" s="256" customFormat="1" hidden="1" outlineLevel="2">
      <c r="A1115" s="178"/>
      <c r="B1115" s="257" t="s">
        <v>199</v>
      </c>
      <c r="C1115" s="253" t="s">
        <v>174</v>
      </c>
      <c r="D1115" s="173">
        <v>-1</v>
      </c>
      <c r="E1115" s="252">
        <v>1.5</v>
      </c>
      <c r="F1115" s="252">
        <v>1.45</v>
      </c>
      <c r="G1115" s="254" t="str">
        <f t="shared" si="188"/>
        <v>-</v>
      </c>
      <c r="H1115" s="254" t="str">
        <f t="shared" si="188"/>
        <v>-</v>
      </c>
      <c r="I1115" s="254" t="str">
        <f t="shared" si="188"/>
        <v>-</v>
      </c>
      <c r="J1115" s="254" t="str">
        <f t="shared" si="188"/>
        <v>-</v>
      </c>
      <c r="K1115" s="254" t="str">
        <f t="shared" si="188"/>
        <v>-</v>
      </c>
      <c r="L1115" s="254" t="str">
        <f t="shared" si="188"/>
        <v>-</v>
      </c>
      <c r="M1115" s="254" t="str">
        <f t="shared" si="188"/>
        <v>-</v>
      </c>
      <c r="N1115" s="255"/>
    </row>
    <row r="1116" spans="1:14" s="256" customFormat="1" hidden="1" outlineLevel="2">
      <c r="A1116" s="178"/>
      <c r="B1116" s="257" t="s">
        <v>200</v>
      </c>
      <c r="C1116" s="253" t="s">
        <v>174</v>
      </c>
      <c r="D1116" s="173">
        <v>-1</v>
      </c>
      <c r="E1116" s="252">
        <v>0.95</v>
      </c>
      <c r="F1116" s="252">
        <v>0.55000000000000004</v>
      </c>
      <c r="G1116" s="254" t="str">
        <f t="shared" si="188"/>
        <v>-</v>
      </c>
      <c r="H1116" s="254" t="str">
        <f t="shared" si="188"/>
        <v>-</v>
      </c>
      <c r="I1116" s="254" t="str">
        <f t="shared" si="188"/>
        <v>-</v>
      </c>
      <c r="J1116" s="254" t="str">
        <f t="shared" si="188"/>
        <v>-</v>
      </c>
      <c r="K1116" s="254" t="str">
        <f t="shared" si="188"/>
        <v>-</v>
      </c>
      <c r="L1116" s="254" t="str">
        <f t="shared" si="188"/>
        <v>-</v>
      </c>
      <c r="M1116" s="254" t="str">
        <f t="shared" si="188"/>
        <v>-</v>
      </c>
      <c r="N1116" s="255"/>
    </row>
    <row r="1117" spans="1:14" s="256" customFormat="1" hidden="1" outlineLevel="2">
      <c r="A1117" s="178"/>
      <c r="B1117" s="258" t="s">
        <v>201</v>
      </c>
      <c r="C1117" s="253" t="s">
        <v>174</v>
      </c>
      <c r="D1117" s="173">
        <v>1</v>
      </c>
      <c r="E1117" s="252">
        <v>1.9</v>
      </c>
      <c r="F1117" s="252">
        <v>0.25</v>
      </c>
      <c r="G1117" s="254" t="str">
        <f t="shared" si="188"/>
        <v>-</v>
      </c>
      <c r="H1117" s="254" t="str">
        <f t="shared" si="188"/>
        <v>-</v>
      </c>
      <c r="I1117" s="254" t="str">
        <f t="shared" si="188"/>
        <v>-</v>
      </c>
      <c r="J1117" s="254" t="str">
        <f t="shared" si="188"/>
        <v>-</v>
      </c>
      <c r="K1117" s="254" t="str">
        <f t="shared" si="188"/>
        <v>-</v>
      </c>
      <c r="L1117" s="254" t="str">
        <f t="shared" si="188"/>
        <v>-</v>
      </c>
      <c r="M1117" s="254" t="str">
        <f t="shared" si="188"/>
        <v>-</v>
      </c>
      <c r="N1117" s="255"/>
    </row>
    <row r="1118" spans="1:14" s="256" customFormat="1" hidden="1" outlineLevel="2">
      <c r="A1118" s="178"/>
      <c r="B1118" s="252" t="s">
        <v>202</v>
      </c>
      <c r="C1118" s="253" t="s">
        <v>176</v>
      </c>
      <c r="D1118" s="173">
        <v>1</v>
      </c>
      <c r="E1118" s="252">
        <v>2.2999999999999998</v>
      </c>
      <c r="F1118" s="252">
        <v>1.1200000000000001</v>
      </c>
      <c r="G1118" s="254" t="str">
        <f t="shared" si="188"/>
        <v>-</v>
      </c>
      <c r="H1118" s="254" t="str">
        <f t="shared" si="188"/>
        <v>-</v>
      </c>
      <c r="I1118" s="254" t="str">
        <f t="shared" si="188"/>
        <v>-</v>
      </c>
      <c r="J1118" s="254" t="str">
        <f t="shared" si="188"/>
        <v>-</v>
      </c>
      <c r="K1118" s="254" t="str">
        <f t="shared" si="188"/>
        <v>-</v>
      </c>
      <c r="L1118" s="254" t="str">
        <f t="shared" si="188"/>
        <v>-</v>
      </c>
      <c r="M1118" s="254" t="str">
        <f t="shared" si="188"/>
        <v>-</v>
      </c>
      <c r="N1118" s="255"/>
    </row>
    <row r="1119" spans="1:14" s="256" customFormat="1" hidden="1" outlineLevel="2">
      <c r="A1119" s="178"/>
      <c r="B1119" s="257" t="s">
        <v>203</v>
      </c>
      <c r="C1119" s="253" t="s">
        <v>176</v>
      </c>
      <c r="D1119" s="173">
        <v>-1</v>
      </c>
      <c r="E1119" s="252">
        <v>1.9</v>
      </c>
      <c r="F1119" s="252">
        <v>0.9</v>
      </c>
      <c r="G1119" s="254" t="str">
        <f t="shared" si="188"/>
        <v>-</v>
      </c>
      <c r="H1119" s="254" t="str">
        <f t="shared" si="188"/>
        <v>-</v>
      </c>
      <c r="I1119" s="254" t="str">
        <f t="shared" si="188"/>
        <v>-</v>
      </c>
      <c r="J1119" s="254" t="str">
        <f t="shared" si="188"/>
        <v>-</v>
      </c>
      <c r="K1119" s="254" t="str">
        <f t="shared" si="188"/>
        <v>-</v>
      </c>
      <c r="L1119" s="254" t="str">
        <f t="shared" si="188"/>
        <v>-</v>
      </c>
      <c r="M1119" s="254" t="str">
        <f t="shared" si="188"/>
        <v>-</v>
      </c>
      <c r="N1119" s="255"/>
    </row>
    <row r="1120" spans="1:14" s="256" customFormat="1" hidden="1" outlineLevel="2">
      <c r="A1120" s="259"/>
      <c r="B1120" s="252"/>
      <c r="D1120" s="253"/>
      <c r="E1120" s="252"/>
      <c r="F1120" s="252"/>
      <c r="G1120" s="254" t="str">
        <f t="shared" ref="G1120:M1120" si="189">IF($D1120=G$5,PRODUCT($D1120:$F1120),"-")</f>
        <v>-</v>
      </c>
      <c r="H1120" s="254" t="str">
        <f t="shared" si="189"/>
        <v>-</v>
      </c>
      <c r="I1120" s="254" t="str">
        <f t="shared" si="189"/>
        <v>-</v>
      </c>
      <c r="J1120" s="254" t="str">
        <f t="shared" si="189"/>
        <v>-</v>
      </c>
      <c r="K1120" s="254" t="str">
        <f t="shared" si="189"/>
        <v>-</v>
      </c>
      <c r="L1120" s="254" t="str">
        <f t="shared" si="189"/>
        <v>-</v>
      </c>
      <c r="M1120" s="254" t="str">
        <f t="shared" si="189"/>
        <v>-</v>
      </c>
      <c r="N1120" s="255"/>
    </row>
    <row r="1121" spans="1:14" s="236" customFormat="1" ht="15" hidden="1" outlineLevel="1">
      <c r="A1121" s="260"/>
      <c r="B1121" s="261" t="s">
        <v>291</v>
      </c>
      <c r="C1121" s="260"/>
      <c r="D1121" s="262">
        <v>1</v>
      </c>
      <c r="E1121" s="263"/>
      <c r="F1121" s="263"/>
      <c r="G1121" s="264">
        <f>SUM(G1067,G1086,G1103)</f>
        <v>77.699999999999989</v>
      </c>
      <c r="H1121" s="264">
        <f t="shared" ref="H1121:M1121" si="190">SUM(H1067,H1086,H1103)</f>
        <v>36.9</v>
      </c>
      <c r="I1121" s="264">
        <f t="shared" si="190"/>
        <v>17.720000000000002</v>
      </c>
      <c r="J1121" s="264">
        <f t="shared" si="190"/>
        <v>1.44</v>
      </c>
      <c r="K1121" s="264">
        <f t="shared" si="190"/>
        <v>0</v>
      </c>
      <c r="L1121" s="264">
        <f t="shared" si="190"/>
        <v>0</v>
      </c>
      <c r="M1121" s="264">
        <f t="shared" si="190"/>
        <v>0</v>
      </c>
      <c r="N1121" s="265" t="s">
        <v>299</v>
      </c>
    </row>
    <row r="1122" spans="1:14" s="236" customFormat="1" ht="15" hidden="1" outlineLevel="1">
      <c r="A1122" s="260"/>
      <c r="B1122" s="261" t="s">
        <v>300</v>
      </c>
      <c r="C1122" s="260"/>
      <c r="D1122" s="262">
        <v>1</v>
      </c>
      <c r="E1122" s="263"/>
      <c r="F1122" s="263"/>
      <c r="G1122" s="264">
        <f>SUM(G1015,G1034,G1046)*2</f>
        <v>166.39999999999998</v>
      </c>
      <c r="H1122" s="264">
        <f t="shared" ref="H1122:M1122" si="191">SUM(H1015,H1034,H1046)*2</f>
        <v>54.4</v>
      </c>
      <c r="I1122" s="264">
        <f t="shared" si="191"/>
        <v>31.919999999999995</v>
      </c>
      <c r="J1122" s="264">
        <f t="shared" si="191"/>
        <v>2.16</v>
      </c>
      <c r="K1122" s="264">
        <f t="shared" si="191"/>
        <v>0</v>
      </c>
      <c r="L1122" s="264">
        <f t="shared" si="191"/>
        <v>0</v>
      </c>
      <c r="M1122" s="264">
        <f t="shared" si="191"/>
        <v>0</v>
      </c>
      <c r="N1122" s="265" t="s">
        <v>301</v>
      </c>
    </row>
    <row r="1123" spans="1:14" s="236" customFormat="1" ht="15" hidden="1" outlineLevel="1">
      <c r="A1123" s="260"/>
      <c r="B1123" s="261" t="s">
        <v>302</v>
      </c>
      <c r="C1123" s="260"/>
      <c r="D1123" s="262">
        <v>1</v>
      </c>
      <c r="E1123" s="263"/>
      <c r="F1123" s="263"/>
      <c r="G1123" s="264">
        <f>G997</f>
        <v>23.7</v>
      </c>
      <c r="H1123" s="264">
        <f t="shared" ref="H1123:M1123" si="192">H997</f>
        <v>4.05</v>
      </c>
      <c r="I1123" s="264">
        <f t="shared" si="192"/>
        <v>2.6</v>
      </c>
      <c r="J1123" s="264">
        <f t="shared" si="192"/>
        <v>0</v>
      </c>
      <c r="K1123" s="264">
        <f t="shared" si="192"/>
        <v>0</v>
      </c>
      <c r="L1123" s="264">
        <f t="shared" si="192"/>
        <v>0</v>
      </c>
      <c r="M1123" s="264">
        <f t="shared" si="192"/>
        <v>0</v>
      </c>
      <c r="N1123" s="265" t="s">
        <v>303</v>
      </c>
    </row>
    <row r="1124" spans="1:14" s="236" customFormat="1" ht="15" hidden="1" outlineLevel="1">
      <c r="A1124" s="260"/>
      <c r="B1124" s="261" t="s">
        <v>304</v>
      </c>
      <c r="C1124" s="260"/>
      <c r="D1124" s="262">
        <v>1</v>
      </c>
      <c r="E1124" s="263"/>
      <c r="F1124" s="263"/>
      <c r="G1124" s="264">
        <f>G978</f>
        <v>20.8</v>
      </c>
      <c r="H1124" s="264">
        <f t="shared" ref="H1124:M1124" si="193">H978</f>
        <v>5.7</v>
      </c>
      <c r="I1124" s="264">
        <f t="shared" si="193"/>
        <v>4.04</v>
      </c>
      <c r="J1124" s="264">
        <f t="shared" si="193"/>
        <v>0.36</v>
      </c>
      <c r="K1124" s="264">
        <f t="shared" si="193"/>
        <v>0</v>
      </c>
      <c r="L1124" s="264">
        <f t="shared" si="193"/>
        <v>0</v>
      </c>
      <c r="M1124" s="264">
        <f t="shared" si="193"/>
        <v>0</v>
      </c>
      <c r="N1124" s="265" t="s">
        <v>305</v>
      </c>
    </row>
    <row r="1125" spans="1:14" s="236" customFormat="1" ht="15" hidden="1" outlineLevel="1">
      <c r="A1125" s="260"/>
      <c r="B1125" s="261" t="s">
        <v>306</v>
      </c>
      <c r="C1125" s="260"/>
      <c r="D1125" s="262">
        <v>1</v>
      </c>
      <c r="E1125" s="263"/>
      <c r="F1125" s="263"/>
      <c r="G1125" s="264">
        <f>G959</f>
        <v>20.8</v>
      </c>
      <c r="H1125" s="264">
        <f t="shared" ref="H1125:M1125" si="194">H959</f>
        <v>5.4</v>
      </c>
      <c r="I1125" s="264">
        <f t="shared" si="194"/>
        <v>21.6</v>
      </c>
      <c r="J1125" s="264">
        <f t="shared" si="194"/>
        <v>0.36</v>
      </c>
      <c r="K1125" s="264">
        <f t="shared" si="194"/>
        <v>0</v>
      </c>
      <c r="L1125" s="264">
        <f t="shared" si="194"/>
        <v>0</v>
      </c>
      <c r="M1125" s="264">
        <f t="shared" si="194"/>
        <v>0</v>
      </c>
      <c r="N1125" s="265" t="s">
        <v>307</v>
      </c>
    </row>
    <row r="1126" spans="1:14" s="251" customFormat="1" ht="15" hidden="1" outlineLevel="1" collapsed="1">
      <c r="A1126" s="245"/>
      <c r="B1126" s="246" t="s">
        <v>308</v>
      </c>
      <c r="C1126" s="245"/>
      <c r="D1126" s="247">
        <v>1</v>
      </c>
      <c r="E1126" s="248"/>
      <c r="F1126" s="248"/>
      <c r="G1126" s="249">
        <f>SUBTOTAL(9,G1127:G1140)</f>
        <v>37.799999999999997</v>
      </c>
      <c r="H1126" s="249">
        <f t="shared" ref="H1126:M1126" si="195">SUBTOTAL(9,H1127:H1140)</f>
        <v>0</v>
      </c>
      <c r="I1126" s="249">
        <f t="shared" si="195"/>
        <v>7.5</v>
      </c>
      <c r="J1126" s="249">
        <f t="shared" si="195"/>
        <v>0.36</v>
      </c>
      <c r="K1126" s="249">
        <f t="shared" si="195"/>
        <v>1.8</v>
      </c>
      <c r="L1126" s="249">
        <f t="shared" si="195"/>
        <v>0.8</v>
      </c>
      <c r="M1126" s="249">
        <f t="shared" si="195"/>
        <v>0</v>
      </c>
      <c r="N1126" s="250"/>
    </row>
    <row r="1127" spans="1:14" s="256" customFormat="1" hidden="1" outlineLevel="2">
      <c r="A1127" s="178"/>
      <c r="B1127" s="252" t="s">
        <v>189</v>
      </c>
      <c r="C1127" s="253" t="s">
        <v>169</v>
      </c>
      <c r="D1127" s="173">
        <v>1</v>
      </c>
      <c r="E1127" s="252">
        <v>37.799999999999997</v>
      </c>
      <c r="F1127" s="252"/>
      <c r="G1127" s="254">
        <f t="shared" ref="G1127:M1147" si="196">IF($C1127=G$5,PRODUCT($D1127:$F1127),"-")</f>
        <v>37.799999999999997</v>
      </c>
      <c r="H1127" s="254" t="str">
        <f t="shared" si="196"/>
        <v>-</v>
      </c>
      <c r="I1127" s="254" t="str">
        <f t="shared" si="196"/>
        <v>-</v>
      </c>
      <c r="J1127" s="254" t="str">
        <f t="shared" si="196"/>
        <v>-</v>
      </c>
      <c r="K1127" s="254" t="str">
        <f t="shared" si="196"/>
        <v>-</v>
      </c>
      <c r="L1127" s="254" t="str">
        <f t="shared" si="196"/>
        <v>-</v>
      </c>
      <c r="M1127" s="254" t="str">
        <f t="shared" si="196"/>
        <v>-</v>
      </c>
      <c r="N1127" s="255"/>
    </row>
    <row r="1128" spans="1:14" s="256" customFormat="1" hidden="1" outlineLevel="2">
      <c r="A1128" s="178"/>
      <c r="B1128" s="252" t="s">
        <v>190</v>
      </c>
      <c r="C1128" s="253" t="s">
        <v>170</v>
      </c>
      <c r="D1128" s="173">
        <v>1</v>
      </c>
      <c r="E1128" s="252">
        <v>39.6</v>
      </c>
      <c r="F1128" s="252"/>
      <c r="G1128" s="254" t="str">
        <f t="shared" si="196"/>
        <v>-</v>
      </c>
      <c r="H1128" s="254" t="str">
        <f t="shared" si="196"/>
        <v>-</v>
      </c>
      <c r="I1128" s="254" t="str">
        <f t="shared" si="196"/>
        <v>-</v>
      </c>
      <c r="J1128" s="254" t="str">
        <f t="shared" si="196"/>
        <v>-</v>
      </c>
      <c r="K1128" s="254" t="str">
        <f t="shared" si="196"/>
        <v>-</v>
      </c>
      <c r="L1128" s="254" t="str">
        <f t="shared" si="196"/>
        <v>-</v>
      </c>
      <c r="M1128" s="254" t="str">
        <f t="shared" si="196"/>
        <v>-</v>
      </c>
      <c r="N1128" s="255"/>
    </row>
    <row r="1129" spans="1:14" s="256" customFormat="1" hidden="1" outlineLevel="2">
      <c r="A1129" s="178"/>
      <c r="B1129" s="252" t="s">
        <v>196</v>
      </c>
      <c r="C1129" s="253" t="s">
        <v>173</v>
      </c>
      <c r="D1129" s="173">
        <v>1</v>
      </c>
      <c r="E1129" s="252">
        <v>7.5</v>
      </c>
      <c r="F1129" s="252"/>
      <c r="G1129" s="254" t="str">
        <f t="shared" si="196"/>
        <v>-</v>
      </c>
      <c r="H1129" s="254" t="str">
        <f t="shared" si="196"/>
        <v>-</v>
      </c>
      <c r="I1129" s="254">
        <f t="shared" si="196"/>
        <v>7.5</v>
      </c>
      <c r="J1129" s="254" t="str">
        <f t="shared" si="196"/>
        <v>-</v>
      </c>
      <c r="K1129" s="254" t="str">
        <f t="shared" si="196"/>
        <v>-</v>
      </c>
      <c r="L1129" s="254" t="str">
        <f t="shared" si="196"/>
        <v>-</v>
      </c>
      <c r="M1129" s="254" t="str">
        <f t="shared" si="196"/>
        <v>-</v>
      </c>
      <c r="N1129" s="255"/>
    </row>
    <row r="1130" spans="1:14" s="256" customFormat="1" hidden="1" outlineLevel="2">
      <c r="A1130" s="178"/>
      <c r="B1130" s="252" t="s">
        <v>197</v>
      </c>
      <c r="C1130" s="253" t="s">
        <v>175</v>
      </c>
      <c r="D1130" s="173">
        <v>1</v>
      </c>
      <c r="E1130" s="252">
        <f>0.3*0.6*2</f>
        <v>0.36</v>
      </c>
      <c r="F1130" s="252"/>
      <c r="G1130" s="254" t="str">
        <f t="shared" si="196"/>
        <v>-</v>
      </c>
      <c r="H1130" s="254" t="str">
        <f t="shared" si="196"/>
        <v>-</v>
      </c>
      <c r="I1130" s="254" t="str">
        <f t="shared" si="196"/>
        <v>-</v>
      </c>
      <c r="J1130" s="254">
        <f t="shared" si="196"/>
        <v>0.36</v>
      </c>
      <c r="K1130" s="254" t="str">
        <f t="shared" si="196"/>
        <v>-</v>
      </c>
      <c r="L1130" s="254" t="str">
        <f t="shared" si="196"/>
        <v>-</v>
      </c>
      <c r="M1130" s="254" t="str">
        <f t="shared" si="196"/>
        <v>-</v>
      </c>
      <c r="N1130" s="255"/>
    </row>
    <row r="1131" spans="1:14" s="256" customFormat="1" hidden="1" outlineLevel="2">
      <c r="A1131" s="178"/>
      <c r="B1131" s="252" t="s">
        <v>198</v>
      </c>
      <c r="C1131" s="253" t="s">
        <v>174</v>
      </c>
      <c r="D1131" s="173">
        <v>1</v>
      </c>
      <c r="E1131" s="252">
        <v>17.100000000000001</v>
      </c>
      <c r="F1131" s="252">
        <v>2.2999999999999998</v>
      </c>
      <c r="G1131" s="254" t="str">
        <f t="shared" si="196"/>
        <v>-</v>
      </c>
      <c r="H1131" s="254" t="str">
        <f t="shared" si="196"/>
        <v>-</v>
      </c>
      <c r="I1131" s="254" t="str">
        <f t="shared" si="196"/>
        <v>-</v>
      </c>
      <c r="J1131" s="254" t="str">
        <f t="shared" si="196"/>
        <v>-</v>
      </c>
      <c r="K1131" s="254" t="str">
        <f t="shared" si="196"/>
        <v>-</v>
      </c>
      <c r="L1131" s="254" t="str">
        <f t="shared" si="196"/>
        <v>-</v>
      </c>
      <c r="M1131" s="254" t="str">
        <f t="shared" si="196"/>
        <v>-</v>
      </c>
      <c r="N1131" s="255"/>
    </row>
    <row r="1132" spans="1:14" s="256" customFormat="1" hidden="1" outlineLevel="2">
      <c r="A1132" s="178"/>
      <c r="B1132" s="257" t="s">
        <v>241</v>
      </c>
      <c r="C1132" s="253" t="s">
        <v>174</v>
      </c>
      <c r="D1132" s="173">
        <v>-1</v>
      </c>
      <c r="E1132" s="252">
        <v>0.8</v>
      </c>
      <c r="F1132" s="252">
        <v>2.2200000000000002</v>
      </c>
      <c r="G1132" s="254" t="str">
        <f t="shared" si="196"/>
        <v>-</v>
      </c>
      <c r="H1132" s="254" t="str">
        <f t="shared" si="196"/>
        <v>-</v>
      </c>
      <c r="I1132" s="254" t="str">
        <f t="shared" si="196"/>
        <v>-</v>
      </c>
      <c r="J1132" s="254" t="str">
        <f t="shared" si="196"/>
        <v>-</v>
      </c>
      <c r="K1132" s="254" t="str">
        <f t="shared" si="196"/>
        <v>-</v>
      </c>
      <c r="L1132" s="254" t="str">
        <f t="shared" si="196"/>
        <v>-</v>
      </c>
      <c r="M1132" s="254" t="str">
        <f t="shared" si="196"/>
        <v>-</v>
      </c>
      <c r="N1132" s="255"/>
    </row>
    <row r="1133" spans="1:14" s="256" customFormat="1" hidden="1" outlineLevel="2">
      <c r="A1133" s="178"/>
      <c r="B1133" s="257" t="s">
        <v>242</v>
      </c>
      <c r="C1133" s="253" t="s">
        <v>174</v>
      </c>
      <c r="D1133" s="173">
        <v>-1</v>
      </c>
      <c r="E1133" s="252">
        <f>5.3-2.3</f>
        <v>3</v>
      </c>
      <c r="F1133" s="252">
        <v>0.55000000000000004</v>
      </c>
      <c r="G1133" s="254" t="str">
        <f t="shared" si="196"/>
        <v>-</v>
      </c>
      <c r="H1133" s="254" t="str">
        <f t="shared" si="196"/>
        <v>-</v>
      </c>
      <c r="I1133" s="254" t="str">
        <f t="shared" si="196"/>
        <v>-</v>
      </c>
      <c r="J1133" s="254" t="str">
        <f t="shared" si="196"/>
        <v>-</v>
      </c>
      <c r="K1133" s="254" t="str">
        <f t="shared" si="196"/>
        <v>-</v>
      </c>
      <c r="L1133" s="254" t="str">
        <f t="shared" si="196"/>
        <v>-</v>
      </c>
      <c r="M1133" s="254" t="str">
        <f t="shared" si="196"/>
        <v>-</v>
      </c>
      <c r="N1133" s="255"/>
    </row>
    <row r="1134" spans="1:14" s="256" customFormat="1" hidden="1" outlineLevel="2">
      <c r="A1134" s="178"/>
      <c r="B1134" s="257" t="s">
        <v>243</v>
      </c>
      <c r="C1134" s="253" t="s">
        <v>174</v>
      </c>
      <c r="D1134" s="173">
        <v>-1</v>
      </c>
      <c r="E1134" s="252">
        <f>2.17+1.27</f>
        <v>3.44</v>
      </c>
      <c r="F1134" s="252">
        <v>1.6</v>
      </c>
      <c r="G1134" s="254" t="str">
        <f t="shared" si="196"/>
        <v>-</v>
      </c>
      <c r="H1134" s="254" t="str">
        <f t="shared" si="196"/>
        <v>-</v>
      </c>
      <c r="I1134" s="254" t="str">
        <f t="shared" si="196"/>
        <v>-</v>
      </c>
      <c r="J1134" s="254" t="str">
        <f t="shared" si="196"/>
        <v>-</v>
      </c>
      <c r="K1134" s="254" t="str">
        <f t="shared" si="196"/>
        <v>-</v>
      </c>
      <c r="L1134" s="254" t="str">
        <f t="shared" si="196"/>
        <v>-</v>
      </c>
      <c r="M1134" s="254" t="str">
        <f t="shared" si="196"/>
        <v>-</v>
      </c>
      <c r="N1134" s="255"/>
    </row>
    <row r="1135" spans="1:14" s="256" customFormat="1" hidden="1" outlineLevel="2">
      <c r="A1135" s="178"/>
      <c r="B1135" s="258" t="s">
        <v>201</v>
      </c>
      <c r="C1135" s="253" t="s">
        <v>174</v>
      </c>
      <c r="D1135" s="173">
        <v>1</v>
      </c>
      <c r="E1135" s="252">
        <v>4.4000000000000004</v>
      </c>
      <c r="F1135" s="252">
        <v>0.25</v>
      </c>
      <c r="G1135" s="254" t="str">
        <f t="shared" si="196"/>
        <v>-</v>
      </c>
      <c r="H1135" s="254" t="str">
        <f t="shared" si="196"/>
        <v>-</v>
      </c>
      <c r="I1135" s="254" t="str">
        <f t="shared" si="196"/>
        <v>-</v>
      </c>
      <c r="J1135" s="254" t="str">
        <f t="shared" si="196"/>
        <v>-</v>
      </c>
      <c r="K1135" s="254" t="str">
        <f t="shared" si="196"/>
        <v>-</v>
      </c>
      <c r="L1135" s="254" t="str">
        <f t="shared" si="196"/>
        <v>-</v>
      </c>
      <c r="M1135" s="254" t="str">
        <f t="shared" si="196"/>
        <v>-</v>
      </c>
      <c r="N1135" s="255"/>
    </row>
    <row r="1136" spans="1:14" s="256" customFormat="1" hidden="1" outlineLevel="2">
      <c r="A1136" s="178"/>
      <c r="B1136" s="252" t="s">
        <v>202</v>
      </c>
      <c r="C1136" s="253" t="s">
        <v>176</v>
      </c>
      <c r="D1136" s="173">
        <v>1</v>
      </c>
      <c r="E1136" s="252">
        <v>2.15</v>
      </c>
      <c r="F1136" s="252">
        <v>1.1499999999999999</v>
      </c>
      <c r="G1136" s="254" t="str">
        <f t="shared" si="196"/>
        <v>-</v>
      </c>
      <c r="H1136" s="254" t="str">
        <f t="shared" si="196"/>
        <v>-</v>
      </c>
      <c r="I1136" s="254" t="str">
        <f t="shared" si="196"/>
        <v>-</v>
      </c>
      <c r="J1136" s="254" t="str">
        <f t="shared" si="196"/>
        <v>-</v>
      </c>
      <c r="K1136" s="254" t="str">
        <f t="shared" si="196"/>
        <v>-</v>
      </c>
      <c r="L1136" s="254" t="str">
        <f t="shared" si="196"/>
        <v>-</v>
      </c>
      <c r="M1136" s="254" t="str">
        <f t="shared" si="196"/>
        <v>-</v>
      </c>
      <c r="N1136" s="255"/>
    </row>
    <row r="1137" spans="1:14" s="256" customFormat="1" hidden="1" outlineLevel="2">
      <c r="A1137" s="178"/>
      <c r="B1137" s="257" t="s">
        <v>203</v>
      </c>
      <c r="C1137" s="253" t="s">
        <v>176</v>
      </c>
      <c r="D1137" s="173">
        <v>-1</v>
      </c>
      <c r="E1137" s="252">
        <v>1.65</v>
      </c>
      <c r="F1137" s="252">
        <v>0.7</v>
      </c>
      <c r="G1137" s="254" t="str">
        <f t="shared" si="196"/>
        <v>-</v>
      </c>
      <c r="H1137" s="254" t="str">
        <f t="shared" si="196"/>
        <v>-</v>
      </c>
      <c r="I1137" s="254" t="str">
        <f t="shared" si="196"/>
        <v>-</v>
      </c>
      <c r="J1137" s="254" t="str">
        <f t="shared" si="196"/>
        <v>-</v>
      </c>
      <c r="K1137" s="254" t="str">
        <f t="shared" si="196"/>
        <v>-</v>
      </c>
      <c r="L1137" s="254" t="str">
        <f t="shared" si="196"/>
        <v>-</v>
      </c>
      <c r="M1137" s="254" t="str">
        <f t="shared" si="196"/>
        <v>-</v>
      </c>
      <c r="N1137" s="255"/>
    </row>
    <row r="1138" spans="1:14" s="256" customFormat="1" hidden="1" outlineLevel="2">
      <c r="A1138" s="178"/>
      <c r="B1138" s="252" t="s">
        <v>204</v>
      </c>
      <c r="C1138" s="253" t="s">
        <v>177</v>
      </c>
      <c r="D1138" s="173">
        <v>2</v>
      </c>
      <c r="E1138" s="252">
        <v>0.9</v>
      </c>
      <c r="F1138" s="252"/>
      <c r="G1138" s="254" t="str">
        <f t="shared" si="196"/>
        <v>-</v>
      </c>
      <c r="H1138" s="254" t="str">
        <f t="shared" si="196"/>
        <v>-</v>
      </c>
      <c r="I1138" s="254" t="str">
        <f t="shared" si="196"/>
        <v>-</v>
      </c>
      <c r="J1138" s="254" t="str">
        <f t="shared" si="196"/>
        <v>-</v>
      </c>
      <c r="K1138" s="254">
        <f t="shared" si="196"/>
        <v>1.8</v>
      </c>
      <c r="L1138" s="254" t="str">
        <f t="shared" si="196"/>
        <v>-</v>
      </c>
      <c r="M1138" s="254" t="str">
        <f t="shared" si="196"/>
        <v>-</v>
      </c>
      <c r="N1138" s="255"/>
    </row>
    <row r="1139" spans="1:14" s="256" customFormat="1" hidden="1" outlineLevel="2">
      <c r="A1139" s="178"/>
      <c r="B1139" s="252" t="s">
        <v>205</v>
      </c>
      <c r="C1139" s="253" t="s">
        <v>178</v>
      </c>
      <c r="D1139" s="173">
        <v>1</v>
      </c>
      <c r="E1139" s="252">
        <v>0.8</v>
      </c>
      <c r="F1139" s="252"/>
      <c r="G1139" s="254" t="str">
        <f t="shared" si="196"/>
        <v>-</v>
      </c>
      <c r="H1139" s="254" t="str">
        <f t="shared" si="196"/>
        <v>-</v>
      </c>
      <c r="I1139" s="254" t="str">
        <f t="shared" si="196"/>
        <v>-</v>
      </c>
      <c r="J1139" s="254" t="str">
        <f t="shared" si="196"/>
        <v>-</v>
      </c>
      <c r="K1139" s="254" t="str">
        <f t="shared" si="196"/>
        <v>-</v>
      </c>
      <c r="L1139" s="254">
        <f t="shared" si="196"/>
        <v>0.8</v>
      </c>
      <c r="M1139" s="254" t="str">
        <f t="shared" si="196"/>
        <v>-</v>
      </c>
      <c r="N1139" s="255"/>
    </row>
    <row r="1140" spans="1:14" s="256" customFormat="1" hidden="1" outlineLevel="2">
      <c r="A1140" s="259"/>
      <c r="B1140" s="252"/>
      <c r="C1140" s="253"/>
      <c r="D1140" s="173"/>
      <c r="E1140" s="252"/>
      <c r="F1140" s="252"/>
      <c r="G1140" s="254" t="str">
        <f t="shared" si="196"/>
        <v>-</v>
      </c>
      <c r="H1140" s="254" t="str">
        <f t="shared" si="196"/>
        <v>-</v>
      </c>
      <c r="I1140" s="254" t="str">
        <f t="shared" si="196"/>
        <v>-</v>
      </c>
      <c r="J1140" s="254" t="str">
        <f t="shared" si="196"/>
        <v>-</v>
      </c>
      <c r="K1140" s="254" t="str">
        <f t="shared" si="196"/>
        <v>-</v>
      </c>
      <c r="L1140" s="254" t="str">
        <f t="shared" si="196"/>
        <v>-</v>
      </c>
      <c r="M1140" s="254" t="str">
        <f t="shared" si="196"/>
        <v>-</v>
      </c>
      <c r="N1140" s="255"/>
    </row>
    <row r="1141" spans="1:14" s="251" customFormat="1" ht="15" hidden="1" outlineLevel="1" collapsed="1">
      <c r="A1141" s="245"/>
      <c r="B1141" s="246" t="s">
        <v>234</v>
      </c>
      <c r="C1141" s="245"/>
      <c r="D1141" s="247">
        <v>1</v>
      </c>
      <c r="E1141" s="248"/>
      <c r="F1141" s="248"/>
      <c r="G1141" s="249">
        <f>SUBTOTAL(9,G1142:G1150)</f>
        <v>33.700000000000003</v>
      </c>
      <c r="H1141" s="249">
        <f t="shared" ref="H1141:M1141" si="197">SUBTOTAL(9,H1142:H1150)</f>
        <v>22.3</v>
      </c>
      <c r="I1141" s="249">
        <f t="shared" si="197"/>
        <v>4</v>
      </c>
      <c r="J1141" s="249">
        <f t="shared" si="197"/>
        <v>0</v>
      </c>
      <c r="K1141" s="249">
        <f t="shared" si="197"/>
        <v>1.8</v>
      </c>
      <c r="L1141" s="249">
        <f t="shared" si="197"/>
        <v>1.2</v>
      </c>
      <c r="M1141" s="249">
        <f t="shared" si="197"/>
        <v>0</v>
      </c>
      <c r="N1141" s="250"/>
    </row>
    <row r="1142" spans="1:14" s="256" customFormat="1" hidden="1" outlineLevel="2">
      <c r="A1142" s="178"/>
      <c r="B1142" s="252" t="s">
        <v>189</v>
      </c>
      <c r="C1142" s="253" t="s">
        <v>169</v>
      </c>
      <c r="D1142" s="173">
        <v>1</v>
      </c>
      <c r="E1142" s="252">
        <v>33.700000000000003</v>
      </c>
      <c r="F1142" s="252"/>
      <c r="G1142" s="254">
        <f t="shared" si="196"/>
        <v>33.700000000000003</v>
      </c>
      <c r="H1142" s="254" t="str">
        <f t="shared" si="196"/>
        <v>-</v>
      </c>
      <c r="I1142" s="254" t="str">
        <f t="shared" si="196"/>
        <v>-</v>
      </c>
      <c r="J1142" s="254" t="str">
        <f t="shared" si="196"/>
        <v>-</v>
      </c>
      <c r="K1142" s="254" t="str">
        <f t="shared" si="196"/>
        <v>-</v>
      </c>
      <c r="L1142" s="254" t="str">
        <f t="shared" si="196"/>
        <v>-</v>
      </c>
      <c r="M1142" s="254" t="str">
        <f t="shared" si="196"/>
        <v>-</v>
      </c>
      <c r="N1142" s="255"/>
    </row>
    <row r="1143" spans="1:14" s="256" customFormat="1" hidden="1" outlineLevel="2">
      <c r="A1143" s="178"/>
      <c r="B1143" s="252" t="s">
        <v>190</v>
      </c>
      <c r="C1143" s="253" t="s">
        <v>170</v>
      </c>
      <c r="D1143" s="173">
        <v>1</v>
      </c>
      <c r="E1143" s="252">
        <v>26.6</v>
      </c>
      <c r="F1143" s="252"/>
      <c r="G1143" s="254" t="str">
        <f t="shared" si="196"/>
        <v>-</v>
      </c>
      <c r="H1143" s="254" t="str">
        <f t="shared" si="196"/>
        <v>-</v>
      </c>
      <c r="I1143" s="254" t="str">
        <f t="shared" si="196"/>
        <v>-</v>
      </c>
      <c r="J1143" s="254" t="str">
        <f t="shared" si="196"/>
        <v>-</v>
      </c>
      <c r="K1143" s="254" t="str">
        <f t="shared" si="196"/>
        <v>-</v>
      </c>
      <c r="L1143" s="254" t="str">
        <f t="shared" si="196"/>
        <v>-</v>
      </c>
      <c r="M1143" s="254" t="str">
        <f t="shared" si="196"/>
        <v>-</v>
      </c>
      <c r="N1143" s="255"/>
    </row>
    <row r="1144" spans="1:14" s="256" customFormat="1" hidden="1" outlineLevel="2">
      <c r="A1144" s="178"/>
      <c r="B1144" s="252" t="s">
        <v>193</v>
      </c>
      <c r="C1144" s="253" t="s">
        <v>171</v>
      </c>
      <c r="D1144" s="173">
        <v>1</v>
      </c>
      <c r="E1144" s="252">
        <v>22.3</v>
      </c>
      <c r="F1144" s="252"/>
      <c r="G1144" s="254" t="str">
        <f t="shared" si="196"/>
        <v>-</v>
      </c>
      <c r="H1144" s="254">
        <f t="shared" si="196"/>
        <v>22.3</v>
      </c>
      <c r="I1144" s="254" t="str">
        <f t="shared" si="196"/>
        <v>-</v>
      </c>
      <c r="J1144" s="254" t="str">
        <f t="shared" si="196"/>
        <v>-</v>
      </c>
      <c r="K1144" s="254" t="str">
        <f t="shared" si="196"/>
        <v>-</v>
      </c>
      <c r="L1144" s="254" t="str">
        <f t="shared" si="196"/>
        <v>-</v>
      </c>
      <c r="M1144" s="254" t="str">
        <f t="shared" si="196"/>
        <v>-</v>
      </c>
      <c r="N1144" s="255"/>
    </row>
    <row r="1145" spans="1:14" s="256" customFormat="1" hidden="1" outlineLevel="2">
      <c r="A1145" s="178"/>
      <c r="B1145" s="252" t="s">
        <v>194</v>
      </c>
      <c r="C1145" s="253" t="s">
        <v>172</v>
      </c>
      <c r="D1145" s="173">
        <v>1</v>
      </c>
      <c r="E1145" s="252">
        <v>21.5</v>
      </c>
      <c r="F1145" s="252"/>
      <c r="G1145" s="254" t="str">
        <f t="shared" si="196"/>
        <v>-</v>
      </c>
      <c r="H1145" s="254" t="str">
        <f t="shared" si="196"/>
        <v>-</v>
      </c>
      <c r="I1145" s="254" t="str">
        <f t="shared" si="196"/>
        <v>-</v>
      </c>
      <c r="J1145" s="254" t="str">
        <f t="shared" si="196"/>
        <v>-</v>
      </c>
      <c r="K1145" s="254" t="str">
        <f t="shared" si="196"/>
        <v>-</v>
      </c>
      <c r="L1145" s="254" t="str">
        <f t="shared" si="196"/>
        <v>-</v>
      </c>
      <c r="M1145" s="254" t="str">
        <f t="shared" si="196"/>
        <v>-</v>
      </c>
      <c r="N1145" s="255"/>
    </row>
    <row r="1146" spans="1:14" s="256" customFormat="1" hidden="1" outlineLevel="2">
      <c r="A1146" s="178"/>
      <c r="B1146" s="252" t="s">
        <v>196</v>
      </c>
      <c r="C1146" s="253" t="s">
        <v>173</v>
      </c>
      <c r="D1146" s="173">
        <v>1</v>
      </c>
      <c r="E1146" s="252">
        <v>4</v>
      </c>
      <c r="F1146" s="252"/>
      <c r="G1146" s="254" t="str">
        <f t="shared" si="196"/>
        <v>-</v>
      </c>
      <c r="H1146" s="254" t="str">
        <f t="shared" si="196"/>
        <v>-</v>
      </c>
      <c r="I1146" s="254">
        <f t="shared" si="196"/>
        <v>4</v>
      </c>
      <c r="J1146" s="254" t="str">
        <f t="shared" si="196"/>
        <v>-</v>
      </c>
      <c r="K1146" s="254" t="str">
        <f t="shared" si="196"/>
        <v>-</v>
      </c>
      <c r="L1146" s="254" t="str">
        <f t="shared" si="196"/>
        <v>-</v>
      </c>
      <c r="M1146" s="254" t="str">
        <f t="shared" si="196"/>
        <v>-</v>
      </c>
      <c r="N1146" s="255"/>
    </row>
    <row r="1147" spans="1:14" s="256" customFormat="1" hidden="1" outlineLevel="2">
      <c r="A1147" s="178"/>
      <c r="B1147" s="252" t="s">
        <v>198</v>
      </c>
      <c r="C1147" s="253" t="s">
        <v>174</v>
      </c>
      <c r="D1147" s="173">
        <v>1</v>
      </c>
      <c r="E1147" s="252">
        <v>8.6999999999999993</v>
      </c>
      <c r="F1147" s="252">
        <v>2.2999999999999998</v>
      </c>
      <c r="G1147" s="254" t="str">
        <f t="shared" si="196"/>
        <v>-</v>
      </c>
      <c r="H1147" s="254" t="str">
        <f t="shared" si="196"/>
        <v>-</v>
      </c>
      <c r="I1147" s="254" t="str">
        <f t="shared" si="196"/>
        <v>-</v>
      </c>
      <c r="J1147" s="254" t="str">
        <f t="shared" si="196"/>
        <v>-</v>
      </c>
      <c r="K1147" s="254" t="str">
        <f t="shared" si="196"/>
        <v>-</v>
      </c>
      <c r="L1147" s="254" t="str">
        <f t="shared" si="196"/>
        <v>-</v>
      </c>
      <c r="M1147" s="254" t="str">
        <f t="shared" si="196"/>
        <v>-</v>
      </c>
      <c r="N1147" s="255"/>
    </row>
    <row r="1148" spans="1:14" s="256" customFormat="1" hidden="1" outlineLevel="2">
      <c r="A1148" s="178"/>
      <c r="B1148" s="252" t="s">
        <v>204</v>
      </c>
      <c r="C1148" s="253" t="s">
        <v>177</v>
      </c>
      <c r="D1148" s="173">
        <v>2</v>
      </c>
      <c r="E1148" s="252">
        <v>0.9</v>
      </c>
      <c r="F1148" s="252"/>
      <c r="G1148" s="254" t="str">
        <f t="shared" ref="G1148:M1150" si="198">IF($C1148=G$5,PRODUCT($D1148:$F1148),"-")</f>
        <v>-</v>
      </c>
      <c r="H1148" s="254" t="str">
        <f t="shared" si="198"/>
        <v>-</v>
      </c>
      <c r="I1148" s="254" t="str">
        <f t="shared" si="198"/>
        <v>-</v>
      </c>
      <c r="J1148" s="254" t="str">
        <f t="shared" si="198"/>
        <v>-</v>
      </c>
      <c r="K1148" s="254">
        <f t="shared" si="198"/>
        <v>1.8</v>
      </c>
      <c r="L1148" s="254" t="str">
        <f t="shared" si="198"/>
        <v>-</v>
      </c>
      <c r="M1148" s="254" t="str">
        <f t="shared" si="198"/>
        <v>-</v>
      </c>
      <c r="N1148" s="255"/>
    </row>
    <row r="1149" spans="1:14" s="256" customFormat="1" hidden="1" outlineLevel="2">
      <c r="A1149" s="178"/>
      <c r="B1149" s="252" t="s">
        <v>205</v>
      </c>
      <c r="C1149" s="253" t="s">
        <v>178</v>
      </c>
      <c r="D1149" s="173">
        <v>1</v>
      </c>
      <c r="E1149" s="252">
        <v>1.2</v>
      </c>
      <c r="F1149" s="252"/>
      <c r="G1149" s="254" t="str">
        <f t="shared" si="198"/>
        <v>-</v>
      </c>
      <c r="H1149" s="254" t="str">
        <f t="shared" si="198"/>
        <v>-</v>
      </c>
      <c r="I1149" s="254" t="str">
        <f t="shared" si="198"/>
        <v>-</v>
      </c>
      <c r="J1149" s="254" t="str">
        <f t="shared" si="198"/>
        <v>-</v>
      </c>
      <c r="K1149" s="254" t="str">
        <f t="shared" si="198"/>
        <v>-</v>
      </c>
      <c r="L1149" s="254">
        <f t="shared" si="198"/>
        <v>1.2</v>
      </c>
      <c r="M1149" s="254" t="str">
        <f t="shared" si="198"/>
        <v>-</v>
      </c>
      <c r="N1149" s="255"/>
    </row>
    <row r="1150" spans="1:14" s="256" customFormat="1" hidden="1" outlineLevel="2">
      <c r="A1150" s="259"/>
      <c r="B1150" s="252"/>
      <c r="C1150" s="253"/>
      <c r="D1150" s="173"/>
      <c r="E1150" s="252"/>
      <c r="F1150" s="252"/>
      <c r="G1150" s="254" t="str">
        <f t="shared" si="198"/>
        <v>-</v>
      </c>
      <c r="H1150" s="254" t="str">
        <f t="shared" si="198"/>
        <v>-</v>
      </c>
      <c r="I1150" s="254" t="str">
        <f t="shared" si="198"/>
        <v>-</v>
      </c>
      <c r="J1150" s="254" t="str">
        <f t="shared" si="198"/>
        <v>-</v>
      </c>
      <c r="K1150" s="254" t="str">
        <f t="shared" si="198"/>
        <v>-</v>
      </c>
      <c r="L1150" s="254" t="str">
        <f t="shared" si="198"/>
        <v>-</v>
      </c>
      <c r="M1150" s="254" t="str">
        <f t="shared" si="198"/>
        <v>-</v>
      </c>
      <c r="N1150" s="255"/>
    </row>
    <row r="1151" spans="1:14" s="251" customFormat="1" ht="15" hidden="1" outlineLevel="1" collapsed="1">
      <c r="A1151" s="245"/>
      <c r="B1151" s="246" t="s">
        <v>245</v>
      </c>
      <c r="C1151" s="245"/>
      <c r="D1151" s="247">
        <v>1</v>
      </c>
      <c r="E1151" s="248"/>
      <c r="F1151" s="248"/>
      <c r="G1151" s="249">
        <f t="shared" ref="G1151:M1151" si="199">SUBTOTAL(9,G1152:G1158)</f>
        <v>188.09999999999997</v>
      </c>
      <c r="H1151" s="249">
        <f t="shared" si="199"/>
        <v>27.9</v>
      </c>
      <c r="I1151" s="249">
        <f t="shared" si="199"/>
        <v>0</v>
      </c>
      <c r="J1151" s="249">
        <f t="shared" si="199"/>
        <v>0</v>
      </c>
      <c r="K1151" s="249">
        <f t="shared" si="199"/>
        <v>0</v>
      </c>
      <c r="L1151" s="249">
        <f t="shared" si="199"/>
        <v>0</v>
      </c>
      <c r="M1151" s="249">
        <f t="shared" si="199"/>
        <v>0</v>
      </c>
      <c r="N1151" s="250"/>
    </row>
    <row r="1152" spans="1:14" s="256" customFormat="1" hidden="1" outlineLevel="2">
      <c r="A1152" s="178"/>
      <c r="B1152" s="252" t="s">
        <v>189</v>
      </c>
      <c r="C1152" s="253" t="s">
        <v>169</v>
      </c>
      <c r="D1152" s="173">
        <v>1</v>
      </c>
      <c r="E1152" s="252">
        <v>417.4</v>
      </c>
      <c r="F1152" s="252"/>
      <c r="G1152" s="254">
        <f t="shared" ref="G1152:M1158" si="200">IF($C1152=G$5,PRODUCT($D1152:$F1152),"-")</f>
        <v>417.4</v>
      </c>
      <c r="H1152" s="254" t="str">
        <f t="shared" si="200"/>
        <v>-</v>
      </c>
      <c r="I1152" s="254" t="str">
        <f t="shared" si="200"/>
        <v>-</v>
      </c>
      <c r="J1152" s="254" t="str">
        <f t="shared" si="200"/>
        <v>-</v>
      </c>
      <c r="K1152" s="254" t="str">
        <f t="shared" si="200"/>
        <v>-</v>
      </c>
      <c r="L1152" s="254" t="str">
        <f t="shared" si="200"/>
        <v>-</v>
      </c>
      <c r="M1152" s="254" t="str">
        <f t="shared" si="200"/>
        <v>-</v>
      </c>
      <c r="N1152" s="255"/>
    </row>
    <row r="1153" spans="1:14" s="256" customFormat="1" hidden="1" outlineLevel="2">
      <c r="A1153" s="178"/>
      <c r="B1153" s="257" t="s">
        <v>246</v>
      </c>
      <c r="C1153" s="253" t="s">
        <v>169</v>
      </c>
      <c r="D1153" s="173">
        <v>-1</v>
      </c>
      <c r="E1153" s="252">
        <v>229.3</v>
      </c>
      <c r="F1153" s="252"/>
      <c r="G1153" s="254">
        <f t="shared" si="200"/>
        <v>-229.3</v>
      </c>
      <c r="H1153" s="254" t="str">
        <f t="shared" si="200"/>
        <v>-</v>
      </c>
      <c r="I1153" s="254" t="str">
        <f t="shared" si="200"/>
        <v>-</v>
      </c>
      <c r="J1153" s="254" t="str">
        <f t="shared" si="200"/>
        <v>-</v>
      </c>
      <c r="K1153" s="254" t="str">
        <f t="shared" si="200"/>
        <v>-</v>
      </c>
      <c r="L1153" s="254" t="str">
        <f t="shared" si="200"/>
        <v>-</v>
      </c>
      <c r="M1153" s="254" t="str">
        <f t="shared" si="200"/>
        <v>-</v>
      </c>
      <c r="N1153" s="255"/>
    </row>
    <row r="1154" spans="1:14" s="256" customFormat="1" hidden="1" outlineLevel="2">
      <c r="A1154" s="178"/>
      <c r="B1154" s="252" t="s">
        <v>190</v>
      </c>
      <c r="C1154" s="253" t="s">
        <v>170</v>
      </c>
      <c r="D1154" s="173">
        <v>1</v>
      </c>
      <c r="E1154" s="252">
        <f>147.2+76.7</f>
        <v>223.89999999999998</v>
      </c>
      <c r="F1154" s="252"/>
      <c r="G1154" s="254" t="str">
        <f t="shared" si="200"/>
        <v>-</v>
      </c>
      <c r="H1154" s="254" t="str">
        <f t="shared" si="200"/>
        <v>-</v>
      </c>
      <c r="I1154" s="254" t="str">
        <f t="shared" si="200"/>
        <v>-</v>
      </c>
      <c r="J1154" s="254" t="str">
        <f t="shared" si="200"/>
        <v>-</v>
      </c>
      <c r="K1154" s="254" t="str">
        <f t="shared" si="200"/>
        <v>-</v>
      </c>
      <c r="L1154" s="254" t="str">
        <f t="shared" si="200"/>
        <v>-</v>
      </c>
      <c r="M1154" s="254" t="str">
        <f t="shared" si="200"/>
        <v>-</v>
      </c>
      <c r="N1154" s="255"/>
    </row>
    <row r="1155" spans="1:14" s="256" customFormat="1" hidden="1" outlineLevel="2">
      <c r="A1155" s="178"/>
      <c r="B1155" s="266" t="s">
        <v>247</v>
      </c>
      <c r="C1155" s="253" t="s">
        <v>170</v>
      </c>
      <c r="D1155" s="173">
        <v>-2</v>
      </c>
      <c r="E1155" s="252">
        <f>8.7+1*2+0.8*12+1.25*2</f>
        <v>22.8</v>
      </c>
      <c r="F1155" s="252"/>
      <c r="G1155" s="254" t="str">
        <f t="shared" si="200"/>
        <v>-</v>
      </c>
      <c r="H1155" s="254" t="str">
        <f t="shared" si="200"/>
        <v>-</v>
      </c>
      <c r="I1155" s="254" t="str">
        <f t="shared" si="200"/>
        <v>-</v>
      </c>
      <c r="J1155" s="254" t="str">
        <f t="shared" si="200"/>
        <v>-</v>
      </c>
      <c r="K1155" s="254" t="str">
        <f t="shared" si="200"/>
        <v>-</v>
      </c>
      <c r="L1155" s="254" t="str">
        <f t="shared" si="200"/>
        <v>-</v>
      </c>
      <c r="M1155" s="254" t="str">
        <f t="shared" si="200"/>
        <v>-</v>
      </c>
      <c r="N1155" s="255"/>
    </row>
    <row r="1156" spans="1:14" s="256" customFormat="1" hidden="1" outlineLevel="2">
      <c r="A1156" s="178"/>
      <c r="B1156" s="252" t="s">
        <v>193</v>
      </c>
      <c r="C1156" s="253" t="s">
        <v>171</v>
      </c>
      <c r="D1156" s="173">
        <v>1</v>
      </c>
      <c r="E1156" s="252">
        <v>27.9</v>
      </c>
      <c r="F1156" s="252"/>
      <c r="G1156" s="254" t="str">
        <f t="shared" si="200"/>
        <v>-</v>
      </c>
      <c r="H1156" s="254">
        <f t="shared" si="200"/>
        <v>27.9</v>
      </c>
      <c r="I1156" s="254" t="str">
        <f t="shared" si="200"/>
        <v>-</v>
      </c>
      <c r="J1156" s="254" t="str">
        <f t="shared" si="200"/>
        <v>-</v>
      </c>
      <c r="K1156" s="254" t="str">
        <f t="shared" si="200"/>
        <v>-</v>
      </c>
      <c r="L1156" s="254" t="str">
        <f t="shared" si="200"/>
        <v>-</v>
      </c>
      <c r="M1156" s="254" t="str">
        <f t="shared" si="200"/>
        <v>-</v>
      </c>
      <c r="N1156" s="255"/>
    </row>
    <row r="1157" spans="1:14" s="256" customFormat="1" hidden="1" outlineLevel="2">
      <c r="A1157" s="178"/>
      <c r="B1157" s="252" t="s">
        <v>194</v>
      </c>
      <c r="C1157" s="253" t="s">
        <v>172</v>
      </c>
      <c r="D1157" s="173">
        <v>1</v>
      </c>
      <c r="E1157" s="252">
        <v>31.5</v>
      </c>
      <c r="F1157" s="252"/>
      <c r="G1157" s="254" t="str">
        <f t="shared" si="200"/>
        <v>-</v>
      </c>
      <c r="H1157" s="254" t="str">
        <f t="shared" si="200"/>
        <v>-</v>
      </c>
      <c r="I1157" s="254" t="str">
        <f t="shared" si="200"/>
        <v>-</v>
      </c>
      <c r="J1157" s="254" t="str">
        <f t="shared" si="200"/>
        <v>-</v>
      </c>
      <c r="K1157" s="254" t="str">
        <f t="shared" si="200"/>
        <v>-</v>
      </c>
      <c r="L1157" s="254" t="str">
        <f t="shared" si="200"/>
        <v>-</v>
      </c>
      <c r="M1157" s="254" t="str">
        <f t="shared" si="200"/>
        <v>-</v>
      </c>
      <c r="N1157" s="255"/>
    </row>
    <row r="1158" spans="1:14" s="256" customFormat="1" hidden="1" outlineLevel="2">
      <c r="A1158" s="259"/>
      <c r="B1158" s="252"/>
      <c r="C1158" s="253"/>
      <c r="D1158" s="173"/>
      <c r="E1158" s="252"/>
      <c r="F1158" s="252"/>
      <c r="G1158" s="254" t="str">
        <f t="shared" si="200"/>
        <v>-</v>
      </c>
      <c r="H1158" s="254" t="str">
        <f t="shared" si="200"/>
        <v>-</v>
      </c>
      <c r="I1158" s="254" t="str">
        <f t="shared" si="200"/>
        <v>-</v>
      </c>
      <c r="J1158" s="254" t="str">
        <f t="shared" si="200"/>
        <v>-</v>
      </c>
      <c r="K1158" s="254" t="str">
        <f t="shared" si="200"/>
        <v>-</v>
      </c>
      <c r="L1158" s="254" t="str">
        <f t="shared" si="200"/>
        <v>-</v>
      </c>
      <c r="M1158" s="254" t="str">
        <f t="shared" si="200"/>
        <v>-</v>
      </c>
      <c r="N1158" s="255"/>
    </row>
  </sheetData>
  <mergeCells count="4">
    <mergeCell ref="A1:N1"/>
    <mergeCell ref="A2:N2"/>
    <mergeCell ref="C4:C5"/>
    <mergeCell ref="E4:F4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J146"/>
  <sheetViews>
    <sheetView workbookViewId="0">
      <selection activeCell="H10" sqref="H10"/>
    </sheetView>
  </sheetViews>
  <sheetFormatPr defaultRowHeight="16.5" outlineLevelRow="1"/>
  <cols>
    <col min="1" max="1" width="4.5703125" customWidth="1"/>
    <col min="2" max="2" width="26.28515625" customWidth="1"/>
    <col min="3" max="3" width="5" customWidth="1"/>
    <col min="4" max="4" width="5.85546875" customWidth="1"/>
    <col min="5" max="5" width="7.28515625" customWidth="1"/>
    <col min="6" max="6" width="6.5703125" customWidth="1"/>
    <col min="7" max="7" width="7.28515625" customWidth="1"/>
    <col min="8" max="8" width="8.85546875" customWidth="1"/>
    <col min="9" max="9" width="13.28515625" customWidth="1"/>
    <col min="10" max="10" width="20.42578125" customWidth="1"/>
    <col min="250" max="250" width="4.5703125" customWidth="1"/>
    <col min="251" max="251" width="26.28515625" customWidth="1"/>
    <col min="252" max="252" width="5" customWidth="1"/>
    <col min="253" max="253" width="5.85546875" customWidth="1"/>
    <col min="254" max="254" width="7.28515625" customWidth="1"/>
    <col min="255" max="255" width="6.5703125" customWidth="1"/>
    <col min="256" max="256" width="7.28515625" customWidth="1"/>
    <col min="257" max="257" width="8.85546875" customWidth="1"/>
    <col min="258" max="258" width="13.28515625" customWidth="1"/>
    <col min="259" max="259" width="20.42578125" customWidth="1"/>
    <col min="260" max="260" width="9.85546875" customWidth="1"/>
    <col min="261" max="261" width="5.85546875" customWidth="1"/>
    <col min="262" max="262" width="7.28515625" customWidth="1"/>
    <col min="263" max="263" width="6.5703125" customWidth="1"/>
    <col min="264" max="264" width="7.28515625" customWidth="1"/>
    <col min="265" max="265" width="8.85546875" customWidth="1"/>
    <col min="506" max="506" width="4.5703125" customWidth="1"/>
    <col min="507" max="507" width="26.28515625" customWidth="1"/>
    <col min="508" max="508" width="5" customWidth="1"/>
    <col min="509" max="509" width="5.85546875" customWidth="1"/>
    <col min="510" max="510" width="7.28515625" customWidth="1"/>
    <col min="511" max="511" width="6.5703125" customWidth="1"/>
    <col min="512" max="512" width="7.28515625" customWidth="1"/>
    <col min="513" max="513" width="8.85546875" customWidth="1"/>
    <col min="514" max="514" width="13.28515625" customWidth="1"/>
    <col min="515" max="515" width="20.42578125" customWidth="1"/>
    <col min="516" max="516" width="9.85546875" customWidth="1"/>
    <col min="517" max="517" width="5.85546875" customWidth="1"/>
    <col min="518" max="518" width="7.28515625" customWidth="1"/>
    <col min="519" max="519" width="6.5703125" customWidth="1"/>
    <col min="520" max="520" width="7.28515625" customWidth="1"/>
    <col min="521" max="521" width="8.85546875" customWidth="1"/>
    <col min="762" max="762" width="4.5703125" customWidth="1"/>
    <col min="763" max="763" width="26.28515625" customWidth="1"/>
    <col min="764" max="764" width="5" customWidth="1"/>
    <col min="765" max="765" width="5.85546875" customWidth="1"/>
    <col min="766" max="766" width="7.28515625" customWidth="1"/>
    <col min="767" max="767" width="6.5703125" customWidth="1"/>
    <col min="768" max="768" width="7.28515625" customWidth="1"/>
    <col min="769" max="769" width="8.85546875" customWidth="1"/>
    <col min="770" max="770" width="13.28515625" customWidth="1"/>
    <col min="771" max="771" width="20.42578125" customWidth="1"/>
    <col min="772" max="772" width="9.85546875" customWidth="1"/>
    <col min="773" max="773" width="5.85546875" customWidth="1"/>
    <col min="774" max="774" width="7.28515625" customWidth="1"/>
    <col min="775" max="775" width="6.5703125" customWidth="1"/>
    <col min="776" max="776" width="7.28515625" customWidth="1"/>
    <col min="777" max="777" width="8.85546875" customWidth="1"/>
    <col min="1018" max="1018" width="4.5703125" customWidth="1"/>
    <col min="1019" max="1019" width="26.28515625" customWidth="1"/>
    <col min="1020" max="1020" width="5" customWidth="1"/>
    <col min="1021" max="1021" width="5.85546875" customWidth="1"/>
    <col min="1022" max="1022" width="7.28515625" customWidth="1"/>
    <col min="1023" max="1023" width="6.5703125" customWidth="1"/>
    <col min="1024" max="1024" width="7.28515625" customWidth="1"/>
    <col min="1025" max="1025" width="8.85546875" customWidth="1"/>
    <col min="1026" max="1026" width="13.28515625" customWidth="1"/>
    <col min="1027" max="1027" width="20.42578125" customWidth="1"/>
    <col min="1028" max="1028" width="9.85546875" customWidth="1"/>
    <col min="1029" max="1029" width="5.85546875" customWidth="1"/>
    <col min="1030" max="1030" width="7.28515625" customWidth="1"/>
    <col min="1031" max="1031" width="6.5703125" customWidth="1"/>
    <col min="1032" max="1032" width="7.28515625" customWidth="1"/>
    <col min="1033" max="1033" width="8.85546875" customWidth="1"/>
    <col min="1274" max="1274" width="4.5703125" customWidth="1"/>
    <col min="1275" max="1275" width="26.28515625" customWidth="1"/>
    <col min="1276" max="1276" width="5" customWidth="1"/>
    <col min="1277" max="1277" width="5.85546875" customWidth="1"/>
    <col min="1278" max="1278" width="7.28515625" customWidth="1"/>
    <col min="1279" max="1279" width="6.5703125" customWidth="1"/>
    <col min="1280" max="1280" width="7.28515625" customWidth="1"/>
    <col min="1281" max="1281" width="8.85546875" customWidth="1"/>
    <col min="1282" max="1282" width="13.28515625" customWidth="1"/>
    <col min="1283" max="1283" width="20.42578125" customWidth="1"/>
    <col min="1284" max="1284" width="9.85546875" customWidth="1"/>
    <col min="1285" max="1285" width="5.85546875" customWidth="1"/>
    <col min="1286" max="1286" width="7.28515625" customWidth="1"/>
    <col min="1287" max="1287" width="6.5703125" customWidth="1"/>
    <col min="1288" max="1288" width="7.28515625" customWidth="1"/>
    <col min="1289" max="1289" width="8.85546875" customWidth="1"/>
    <col min="1530" max="1530" width="4.5703125" customWidth="1"/>
    <col min="1531" max="1531" width="26.28515625" customWidth="1"/>
    <col min="1532" max="1532" width="5" customWidth="1"/>
    <col min="1533" max="1533" width="5.85546875" customWidth="1"/>
    <col min="1534" max="1534" width="7.28515625" customWidth="1"/>
    <col min="1535" max="1535" width="6.5703125" customWidth="1"/>
    <col min="1536" max="1536" width="7.28515625" customWidth="1"/>
    <col min="1537" max="1537" width="8.85546875" customWidth="1"/>
    <col min="1538" max="1538" width="13.28515625" customWidth="1"/>
    <col min="1539" max="1539" width="20.42578125" customWidth="1"/>
    <col min="1540" max="1540" width="9.85546875" customWidth="1"/>
    <col min="1541" max="1541" width="5.85546875" customWidth="1"/>
    <col min="1542" max="1542" width="7.28515625" customWidth="1"/>
    <col min="1543" max="1543" width="6.5703125" customWidth="1"/>
    <col min="1544" max="1544" width="7.28515625" customWidth="1"/>
    <col min="1545" max="1545" width="8.85546875" customWidth="1"/>
    <col min="1786" max="1786" width="4.5703125" customWidth="1"/>
    <col min="1787" max="1787" width="26.28515625" customWidth="1"/>
    <col min="1788" max="1788" width="5" customWidth="1"/>
    <col min="1789" max="1789" width="5.85546875" customWidth="1"/>
    <col min="1790" max="1790" width="7.28515625" customWidth="1"/>
    <col min="1791" max="1791" width="6.5703125" customWidth="1"/>
    <col min="1792" max="1792" width="7.28515625" customWidth="1"/>
    <col min="1793" max="1793" width="8.85546875" customWidth="1"/>
    <col min="1794" max="1794" width="13.28515625" customWidth="1"/>
    <col min="1795" max="1795" width="20.42578125" customWidth="1"/>
    <col min="1796" max="1796" width="9.85546875" customWidth="1"/>
    <col min="1797" max="1797" width="5.85546875" customWidth="1"/>
    <col min="1798" max="1798" width="7.28515625" customWidth="1"/>
    <col min="1799" max="1799" width="6.5703125" customWidth="1"/>
    <col min="1800" max="1800" width="7.28515625" customWidth="1"/>
    <col min="1801" max="1801" width="8.85546875" customWidth="1"/>
    <col min="2042" max="2042" width="4.5703125" customWidth="1"/>
    <col min="2043" max="2043" width="26.28515625" customWidth="1"/>
    <col min="2044" max="2044" width="5" customWidth="1"/>
    <col min="2045" max="2045" width="5.85546875" customWidth="1"/>
    <col min="2046" max="2046" width="7.28515625" customWidth="1"/>
    <col min="2047" max="2047" width="6.5703125" customWidth="1"/>
    <col min="2048" max="2048" width="7.28515625" customWidth="1"/>
    <col min="2049" max="2049" width="8.85546875" customWidth="1"/>
    <col min="2050" max="2050" width="13.28515625" customWidth="1"/>
    <col min="2051" max="2051" width="20.42578125" customWidth="1"/>
    <col min="2052" max="2052" width="9.85546875" customWidth="1"/>
    <col min="2053" max="2053" width="5.85546875" customWidth="1"/>
    <col min="2054" max="2054" width="7.28515625" customWidth="1"/>
    <col min="2055" max="2055" width="6.5703125" customWidth="1"/>
    <col min="2056" max="2056" width="7.28515625" customWidth="1"/>
    <col min="2057" max="2057" width="8.85546875" customWidth="1"/>
    <col min="2298" max="2298" width="4.5703125" customWidth="1"/>
    <col min="2299" max="2299" width="26.28515625" customWidth="1"/>
    <col min="2300" max="2300" width="5" customWidth="1"/>
    <col min="2301" max="2301" width="5.85546875" customWidth="1"/>
    <col min="2302" max="2302" width="7.28515625" customWidth="1"/>
    <col min="2303" max="2303" width="6.5703125" customWidth="1"/>
    <col min="2304" max="2304" width="7.28515625" customWidth="1"/>
    <col min="2305" max="2305" width="8.85546875" customWidth="1"/>
    <col min="2306" max="2306" width="13.28515625" customWidth="1"/>
    <col min="2307" max="2307" width="20.42578125" customWidth="1"/>
    <col min="2308" max="2308" width="9.85546875" customWidth="1"/>
    <col min="2309" max="2309" width="5.85546875" customWidth="1"/>
    <col min="2310" max="2310" width="7.28515625" customWidth="1"/>
    <col min="2311" max="2311" width="6.5703125" customWidth="1"/>
    <col min="2312" max="2312" width="7.28515625" customWidth="1"/>
    <col min="2313" max="2313" width="8.85546875" customWidth="1"/>
    <col min="2554" max="2554" width="4.5703125" customWidth="1"/>
    <col min="2555" max="2555" width="26.28515625" customWidth="1"/>
    <col min="2556" max="2556" width="5" customWidth="1"/>
    <col min="2557" max="2557" width="5.85546875" customWidth="1"/>
    <col min="2558" max="2558" width="7.28515625" customWidth="1"/>
    <col min="2559" max="2559" width="6.5703125" customWidth="1"/>
    <col min="2560" max="2560" width="7.28515625" customWidth="1"/>
    <col min="2561" max="2561" width="8.85546875" customWidth="1"/>
    <col min="2562" max="2562" width="13.28515625" customWidth="1"/>
    <col min="2563" max="2563" width="20.42578125" customWidth="1"/>
    <col min="2564" max="2564" width="9.85546875" customWidth="1"/>
    <col min="2565" max="2565" width="5.85546875" customWidth="1"/>
    <col min="2566" max="2566" width="7.28515625" customWidth="1"/>
    <col min="2567" max="2567" width="6.5703125" customWidth="1"/>
    <col min="2568" max="2568" width="7.28515625" customWidth="1"/>
    <col min="2569" max="2569" width="8.85546875" customWidth="1"/>
    <col min="2810" max="2810" width="4.5703125" customWidth="1"/>
    <col min="2811" max="2811" width="26.28515625" customWidth="1"/>
    <col min="2812" max="2812" width="5" customWidth="1"/>
    <col min="2813" max="2813" width="5.85546875" customWidth="1"/>
    <col min="2814" max="2814" width="7.28515625" customWidth="1"/>
    <col min="2815" max="2815" width="6.5703125" customWidth="1"/>
    <col min="2816" max="2816" width="7.28515625" customWidth="1"/>
    <col min="2817" max="2817" width="8.85546875" customWidth="1"/>
    <col min="2818" max="2818" width="13.28515625" customWidth="1"/>
    <col min="2819" max="2819" width="20.42578125" customWidth="1"/>
    <col min="2820" max="2820" width="9.85546875" customWidth="1"/>
    <col min="2821" max="2821" width="5.85546875" customWidth="1"/>
    <col min="2822" max="2822" width="7.28515625" customWidth="1"/>
    <col min="2823" max="2823" width="6.5703125" customWidth="1"/>
    <col min="2824" max="2824" width="7.28515625" customWidth="1"/>
    <col min="2825" max="2825" width="8.85546875" customWidth="1"/>
    <col min="3066" max="3066" width="4.5703125" customWidth="1"/>
    <col min="3067" max="3067" width="26.28515625" customWidth="1"/>
    <col min="3068" max="3068" width="5" customWidth="1"/>
    <col min="3069" max="3069" width="5.85546875" customWidth="1"/>
    <col min="3070" max="3070" width="7.28515625" customWidth="1"/>
    <col min="3071" max="3071" width="6.5703125" customWidth="1"/>
    <col min="3072" max="3072" width="7.28515625" customWidth="1"/>
    <col min="3073" max="3073" width="8.85546875" customWidth="1"/>
    <col min="3074" max="3074" width="13.28515625" customWidth="1"/>
    <col min="3075" max="3075" width="20.42578125" customWidth="1"/>
    <col min="3076" max="3076" width="9.85546875" customWidth="1"/>
    <col min="3077" max="3077" width="5.85546875" customWidth="1"/>
    <col min="3078" max="3078" width="7.28515625" customWidth="1"/>
    <col min="3079" max="3079" width="6.5703125" customWidth="1"/>
    <col min="3080" max="3080" width="7.28515625" customWidth="1"/>
    <col min="3081" max="3081" width="8.85546875" customWidth="1"/>
    <col min="3322" max="3322" width="4.5703125" customWidth="1"/>
    <col min="3323" max="3323" width="26.28515625" customWidth="1"/>
    <col min="3324" max="3324" width="5" customWidth="1"/>
    <col min="3325" max="3325" width="5.85546875" customWidth="1"/>
    <col min="3326" max="3326" width="7.28515625" customWidth="1"/>
    <col min="3327" max="3327" width="6.5703125" customWidth="1"/>
    <col min="3328" max="3328" width="7.28515625" customWidth="1"/>
    <col min="3329" max="3329" width="8.85546875" customWidth="1"/>
    <col min="3330" max="3330" width="13.28515625" customWidth="1"/>
    <col min="3331" max="3331" width="20.42578125" customWidth="1"/>
    <col min="3332" max="3332" width="9.85546875" customWidth="1"/>
    <col min="3333" max="3333" width="5.85546875" customWidth="1"/>
    <col min="3334" max="3334" width="7.28515625" customWidth="1"/>
    <col min="3335" max="3335" width="6.5703125" customWidth="1"/>
    <col min="3336" max="3336" width="7.28515625" customWidth="1"/>
    <col min="3337" max="3337" width="8.85546875" customWidth="1"/>
    <col min="3578" max="3578" width="4.5703125" customWidth="1"/>
    <col min="3579" max="3579" width="26.28515625" customWidth="1"/>
    <col min="3580" max="3580" width="5" customWidth="1"/>
    <col min="3581" max="3581" width="5.85546875" customWidth="1"/>
    <col min="3582" max="3582" width="7.28515625" customWidth="1"/>
    <col min="3583" max="3583" width="6.5703125" customWidth="1"/>
    <col min="3584" max="3584" width="7.28515625" customWidth="1"/>
    <col min="3585" max="3585" width="8.85546875" customWidth="1"/>
    <col min="3586" max="3586" width="13.28515625" customWidth="1"/>
    <col min="3587" max="3587" width="20.42578125" customWidth="1"/>
    <col min="3588" max="3588" width="9.85546875" customWidth="1"/>
    <col min="3589" max="3589" width="5.85546875" customWidth="1"/>
    <col min="3590" max="3590" width="7.28515625" customWidth="1"/>
    <col min="3591" max="3591" width="6.5703125" customWidth="1"/>
    <col min="3592" max="3592" width="7.28515625" customWidth="1"/>
    <col min="3593" max="3593" width="8.85546875" customWidth="1"/>
    <col min="3834" max="3834" width="4.5703125" customWidth="1"/>
    <col min="3835" max="3835" width="26.28515625" customWidth="1"/>
    <col min="3836" max="3836" width="5" customWidth="1"/>
    <col min="3837" max="3837" width="5.85546875" customWidth="1"/>
    <col min="3838" max="3838" width="7.28515625" customWidth="1"/>
    <col min="3839" max="3839" width="6.5703125" customWidth="1"/>
    <col min="3840" max="3840" width="7.28515625" customWidth="1"/>
    <col min="3841" max="3841" width="8.85546875" customWidth="1"/>
    <col min="3842" max="3842" width="13.28515625" customWidth="1"/>
    <col min="3843" max="3843" width="20.42578125" customWidth="1"/>
    <col min="3844" max="3844" width="9.85546875" customWidth="1"/>
    <col min="3845" max="3845" width="5.85546875" customWidth="1"/>
    <col min="3846" max="3846" width="7.28515625" customWidth="1"/>
    <col min="3847" max="3847" width="6.5703125" customWidth="1"/>
    <col min="3848" max="3848" width="7.28515625" customWidth="1"/>
    <col min="3849" max="3849" width="8.85546875" customWidth="1"/>
    <col min="4090" max="4090" width="4.5703125" customWidth="1"/>
    <col min="4091" max="4091" width="26.28515625" customWidth="1"/>
    <col min="4092" max="4092" width="5" customWidth="1"/>
    <col min="4093" max="4093" width="5.85546875" customWidth="1"/>
    <col min="4094" max="4094" width="7.28515625" customWidth="1"/>
    <col min="4095" max="4095" width="6.5703125" customWidth="1"/>
    <col min="4096" max="4096" width="7.28515625" customWidth="1"/>
    <col min="4097" max="4097" width="8.85546875" customWidth="1"/>
    <col min="4098" max="4098" width="13.28515625" customWidth="1"/>
    <col min="4099" max="4099" width="20.42578125" customWidth="1"/>
    <col min="4100" max="4100" width="9.85546875" customWidth="1"/>
    <col min="4101" max="4101" width="5.85546875" customWidth="1"/>
    <col min="4102" max="4102" width="7.28515625" customWidth="1"/>
    <col min="4103" max="4103" width="6.5703125" customWidth="1"/>
    <col min="4104" max="4104" width="7.28515625" customWidth="1"/>
    <col min="4105" max="4105" width="8.85546875" customWidth="1"/>
    <col min="4346" max="4346" width="4.5703125" customWidth="1"/>
    <col min="4347" max="4347" width="26.28515625" customWidth="1"/>
    <col min="4348" max="4348" width="5" customWidth="1"/>
    <col min="4349" max="4349" width="5.85546875" customWidth="1"/>
    <col min="4350" max="4350" width="7.28515625" customWidth="1"/>
    <col min="4351" max="4351" width="6.5703125" customWidth="1"/>
    <col min="4352" max="4352" width="7.28515625" customWidth="1"/>
    <col min="4353" max="4353" width="8.85546875" customWidth="1"/>
    <col min="4354" max="4354" width="13.28515625" customWidth="1"/>
    <col min="4355" max="4355" width="20.42578125" customWidth="1"/>
    <col min="4356" max="4356" width="9.85546875" customWidth="1"/>
    <col min="4357" max="4357" width="5.85546875" customWidth="1"/>
    <col min="4358" max="4358" width="7.28515625" customWidth="1"/>
    <col min="4359" max="4359" width="6.5703125" customWidth="1"/>
    <col min="4360" max="4360" width="7.28515625" customWidth="1"/>
    <col min="4361" max="4361" width="8.85546875" customWidth="1"/>
    <col min="4602" max="4602" width="4.5703125" customWidth="1"/>
    <col min="4603" max="4603" width="26.28515625" customWidth="1"/>
    <col min="4604" max="4604" width="5" customWidth="1"/>
    <col min="4605" max="4605" width="5.85546875" customWidth="1"/>
    <col min="4606" max="4606" width="7.28515625" customWidth="1"/>
    <col min="4607" max="4607" width="6.5703125" customWidth="1"/>
    <col min="4608" max="4608" width="7.28515625" customWidth="1"/>
    <col min="4609" max="4609" width="8.85546875" customWidth="1"/>
    <col min="4610" max="4610" width="13.28515625" customWidth="1"/>
    <col min="4611" max="4611" width="20.42578125" customWidth="1"/>
    <col min="4612" max="4612" width="9.85546875" customWidth="1"/>
    <col min="4613" max="4613" width="5.85546875" customWidth="1"/>
    <col min="4614" max="4614" width="7.28515625" customWidth="1"/>
    <col min="4615" max="4615" width="6.5703125" customWidth="1"/>
    <col min="4616" max="4616" width="7.28515625" customWidth="1"/>
    <col min="4617" max="4617" width="8.85546875" customWidth="1"/>
    <col min="4858" max="4858" width="4.5703125" customWidth="1"/>
    <col min="4859" max="4859" width="26.28515625" customWidth="1"/>
    <col min="4860" max="4860" width="5" customWidth="1"/>
    <col min="4861" max="4861" width="5.85546875" customWidth="1"/>
    <col min="4862" max="4862" width="7.28515625" customWidth="1"/>
    <col min="4863" max="4863" width="6.5703125" customWidth="1"/>
    <col min="4864" max="4864" width="7.28515625" customWidth="1"/>
    <col min="4865" max="4865" width="8.85546875" customWidth="1"/>
    <col min="4866" max="4866" width="13.28515625" customWidth="1"/>
    <col min="4867" max="4867" width="20.42578125" customWidth="1"/>
    <col min="4868" max="4868" width="9.85546875" customWidth="1"/>
    <col min="4869" max="4869" width="5.85546875" customWidth="1"/>
    <col min="4870" max="4870" width="7.28515625" customWidth="1"/>
    <col min="4871" max="4871" width="6.5703125" customWidth="1"/>
    <col min="4872" max="4872" width="7.28515625" customWidth="1"/>
    <col min="4873" max="4873" width="8.85546875" customWidth="1"/>
    <col min="5114" max="5114" width="4.5703125" customWidth="1"/>
    <col min="5115" max="5115" width="26.28515625" customWidth="1"/>
    <col min="5116" max="5116" width="5" customWidth="1"/>
    <col min="5117" max="5117" width="5.85546875" customWidth="1"/>
    <col min="5118" max="5118" width="7.28515625" customWidth="1"/>
    <col min="5119" max="5119" width="6.5703125" customWidth="1"/>
    <col min="5120" max="5120" width="7.28515625" customWidth="1"/>
    <col min="5121" max="5121" width="8.85546875" customWidth="1"/>
    <col min="5122" max="5122" width="13.28515625" customWidth="1"/>
    <col min="5123" max="5123" width="20.42578125" customWidth="1"/>
    <col min="5124" max="5124" width="9.85546875" customWidth="1"/>
    <col min="5125" max="5125" width="5.85546875" customWidth="1"/>
    <col min="5126" max="5126" width="7.28515625" customWidth="1"/>
    <col min="5127" max="5127" width="6.5703125" customWidth="1"/>
    <col min="5128" max="5128" width="7.28515625" customWidth="1"/>
    <col min="5129" max="5129" width="8.85546875" customWidth="1"/>
    <col min="5370" max="5370" width="4.5703125" customWidth="1"/>
    <col min="5371" max="5371" width="26.28515625" customWidth="1"/>
    <col min="5372" max="5372" width="5" customWidth="1"/>
    <col min="5373" max="5373" width="5.85546875" customWidth="1"/>
    <col min="5374" max="5374" width="7.28515625" customWidth="1"/>
    <col min="5375" max="5375" width="6.5703125" customWidth="1"/>
    <col min="5376" max="5376" width="7.28515625" customWidth="1"/>
    <col min="5377" max="5377" width="8.85546875" customWidth="1"/>
    <col min="5378" max="5378" width="13.28515625" customWidth="1"/>
    <col min="5379" max="5379" width="20.42578125" customWidth="1"/>
    <col min="5380" max="5380" width="9.85546875" customWidth="1"/>
    <col min="5381" max="5381" width="5.85546875" customWidth="1"/>
    <col min="5382" max="5382" width="7.28515625" customWidth="1"/>
    <col min="5383" max="5383" width="6.5703125" customWidth="1"/>
    <col min="5384" max="5384" width="7.28515625" customWidth="1"/>
    <col min="5385" max="5385" width="8.85546875" customWidth="1"/>
    <col min="5626" max="5626" width="4.5703125" customWidth="1"/>
    <col min="5627" max="5627" width="26.28515625" customWidth="1"/>
    <col min="5628" max="5628" width="5" customWidth="1"/>
    <col min="5629" max="5629" width="5.85546875" customWidth="1"/>
    <col min="5630" max="5630" width="7.28515625" customWidth="1"/>
    <col min="5631" max="5631" width="6.5703125" customWidth="1"/>
    <col min="5632" max="5632" width="7.28515625" customWidth="1"/>
    <col min="5633" max="5633" width="8.85546875" customWidth="1"/>
    <col min="5634" max="5634" width="13.28515625" customWidth="1"/>
    <col min="5635" max="5635" width="20.42578125" customWidth="1"/>
    <col min="5636" max="5636" width="9.85546875" customWidth="1"/>
    <col min="5637" max="5637" width="5.85546875" customWidth="1"/>
    <col min="5638" max="5638" width="7.28515625" customWidth="1"/>
    <col min="5639" max="5639" width="6.5703125" customWidth="1"/>
    <col min="5640" max="5640" width="7.28515625" customWidth="1"/>
    <col min="5641" max="5641" width="8.85546875" customWidth="1"/>
    <col min="5882" max="5882" width="4.5703125" customWidth="1"/>
    <col min="5883" max="5883" width="26.28515625" customWidth="1"/>
    <col min="5884" max="5884" width="5" customWidth="1"/>
    <col min="5885" max="5885" width="5.85546875" customWidth="1"/>
    <col min="5886" max="5886" width="7.28515625" customWidth="1"/>
    <col min="5887" max="5887" width="6.5703125" customWidth="1"/>
    <col min="5888" max="5888" width="7.28515625" customWidth="1"/>
    <col min="5889" max="5889" width="8.85546875" customWidth="1"/>
    <col min="5890" max="5890" width="13.28515625" customWidth="1"/>
    <col min="5891" max="5891" width="20.42578125" customWidth="1"/>
    <col min="5892" max="5892" width="9.85546875" customWidth="1"/>
    <col min="5893" max="5893" width="5.85546875" customWidth="1"/>
    <col min="5894" max="5894" width="7.28515625" customWidth="1"/>
    <col min="5895" max="5895" width="6.5703125" customWidth="1"/>
    <col min="5896" max="5896" width="7.28515625" customWidth="1"/>
    <col min="5897" max="5897" width="8.85546875" customWidth="1"/>
    <col min="6138" max="6138" width="4.5703125" customWidth="1"/>
    <col min="6139" max="6139" width="26.28515625" customWidth="1"/>
    <col min="6140" max="6140" width="5" customWidth="1"/>
    <col min="6141" max="6141" width="5.85546875" customWidth="1"/>
    <col min="6142" max="6142" width="7.28515625" customWidth="1"/>
    <col min="6143" max="6143" width="6.5703125" customWidth="1"/>
    <col min="6144" max="6144" width="7.28515625" customWidth="1"/>
    <col min="6145" max="6145" width="8.85546875" customWidth="1"/>
    <col min="6146" max="6146" width="13.28515625" customWidth="1"/>
    <col min="6147" max="6147" width="20.42578125" customWidth="1"/>
    <col min="6148" max="6148" width="9.85546875" customWidth="1"/>
    <col min="6149" max="6149" width="5.85546875" customWidth="1"/>
    <col min="6150" max="6150" width="7.28515625" customWidth="1"/>
    <col min="6151" max="6151" width="6.5703125" customWidth="1"/>
    <col min="6152" max="6152" width="7.28515625" customWidth="1"/>
    <col min="6153" max="6153" width="8.85546875" customWidth="1"/>
    <col min="6394" max="6394" width="4.5703125" customWidth="1"/>
    <col min="6395" max="6395" width="26.28515625" customWidth="1"/>
    <col min="6396" max="6396" width="5" customWidth="1"/>
    <col min="6397" max="6397" width="5.85546875" customWidth="1"/>
    <col min="6398" max="6398" width="7.28515625" customWidth="1"/>
    <col min="6399" max="6399" width="6.5703125" customWidth="1"/>
    <col min="6400" max="6400" width="7.28515625" customWidth="1"/>
    <col min="6401" max="6401" width="8.85546875" customWidth="1"/>
    <col min="6402" max="6402" width="13.28515625" customWidth="1"/>
    <col min="6403" max="6403" width="20.42578125" customWidth="1"/>
    <col min="6404" max="6404" width="9.85546875" customWidth="1"/>
    <col min="6405" max="6405" width="5.85546875" customWidth="1"/>
    <col min="6406" max="6406" width="7.28515625" customWidth="1"/>
    <col min="6407" max="6407" width="6.5703125" customWidth="1"/>
    <col min="6408" max="6408" width="7.28515625" customWidth="1"/>
    <col min="6409" max="6409" width="8.85546875" customWidth="1"/>
    <col min="6650" max="6650" width="4.5703125" customWidth="1"/>
    <col min="6651" max="6651" width="26.28515625" customWidth="1"/>
    <col min="6652" max="6652" width="5" customWidth="1"/>
    <col min="6653" max="6653" width="5.85546875" customWidth="1"/>
    <col min="6654" max="6654" width="7.28515625" customWidth="1"/>
    <col min="6655" max="6655" width="6.5703125" customWidth="1"/>
    <col min="6656" max="6656" width="7.28515625" customWidth="1"/>
    <col min="6657" max="6657" width="8.85546875" customWidth="1"/>
    <col min="6658" max="6658" width="13.28515625" customWidth="1"/>
    <col min="6659" max="6659" width="20.42578125" customWidth="1"/>
    <col min="6660" max="6660" width="9.85546875" customWidth="1"/>
    <col min="6661" max="6661" width="5.85546875" customWidth="1"/>
    <col min="6662" max="6662" width="7.28515625" customWidth="1"/>
    <col min="6663" max="6663" width="6.5703125" customWidth="1"/>
    <col min="6664" max="6664" width="7.28515625" customWidth="1"/>
    <col min="6665" max="6665" width="8.85546875" customWidth="1"/>
    <col min="6906" max="6906" width="4.5703125" customWidth="1"/>
    <col min="6907" max="6907" width="26.28515625" customWidth="1"/>
    <col min="6908" max="6908" width="5" customWidth="1"/>
    <col min="6909" max="6909" width="5.85546875" customWidth="1"/>
    <col min="6910" max="6910" width="7.28515625" customWidth="1"/>
    <col min="6911" max="6911" width="6.5703125" customWidth="1"/>
    <col min="6912" max="6912" width="7.28515625" customWidth="1"/>
    <col min="6913" max="6913" width="8.85546875" customWidth="1"/>
    <col min="6914" max="6914" width="13.28515625" customWidth="1"/>
    <col min="6915" max="6915" width="20.42578125" customWidth="1"/>
    <col min="6916" max="6916" width="9.85546875" customWidth="1"/>
    <col min="6917" max="6917" width="5.85546875" customWidth="1"/>
    <col min="6918" max="6918" width="7.28515625" customWidth="1"/>
    <col min="6919" max="6919" width="6.5703125" customWidth="1"/>
    <col min="6920" max="6920" width="7.28515625" customWidth="1"/>
    <col min="6921" max="6921" width="8.85546875" customWidth="1"/>
    <col min="7162" max="7162" width="4.5703125" customWidth="1"/>
    <col min="7163" max="7163" width="26.28515625" customWidth="1"/>
    <col min="7164" max="7164" width="5" customWidth="1"/>
    <col min="7165" max="7165" width="5.85546875" customWidth="1"/>
    <col min="7166" max="7166" width="7.28515625" customWidth="1"/>
    <col min="7167" max="7167" width="6.5703125" customWidth="1"/>
    <col min="7168" max="7168" width="7.28515625" customWidth="1"/>
    <col min="7169" max="7169" width="8.85546875" customWidth="1"/>
    <col min="7170" max="7170" width="13.28515625" customWidth="1"/>
    <col min="7171" max="7171" width="20.42578125" customWidth="1"/>
    <col min="7172" max="7172" width="9.85546875" customWidth="1"/>
    <col min="7173" max="7173" width="5.85546875" customWidth="1"/>
    <col min="7174" max="7174" width="7.28515625" customWidth="1"/>
    <col min="7175" max="7175" width="6.5703125" customWidth="1"/>
    <col min="7176" max="7176" width="7.28515625" customWidth="1"/>
    <col min="7177" max="7177" width="8.85546875" customWidth="1"/>
    <col min="7418" max="7418" width="4.5703125" customWidth="1"/>
    <col min="7419" max="7419" width="26.28515625" customWidth="1"/>
    <col min="7420" max="7420" width="5" customWidth="1"/>
    <col min="7421" max="7421" width="5.85546875" customWidth="1"/>
    <col min="7422" max="7422" width="7.28515625" customWidth="1"/>
    <col min="7423" max="7423" width="6.5703125" customWidth="1"/>
    <col min="7424" max="7424" width="7.28515625" customWidth="1"/>
    <col min="7425" max="7425" width="8.85546875" customWidth="1"/>
    <col min="7426" max="7426" width="13.28515625" customWidth="1"/>
    <col min="7427" max="7427" width="20.42578125" customWidth="1"/>
    <col min="7428" max="7428" width="9.85546875" customWidth="1"/>
    <col min="7429" max="7429" width="5.85546875" customWidth="1"/>
    <col min="7430" max="7430" width="7.28515625" customWidth="1"/>
    <col min="7431" max="7431" width="6.5703125" customWidth="1"/>
    <col min="7432" max="7432" width="7.28515625" customWidth="1"/>
    <col min="7433" max="7433" width="8.85546875" customWidth="1"/>
    <col min="7674" max="7674" width="4.5703125" customWidth="1"/>
    <col min="7675" max="7675" width="26.28515625" customWidth="1"/>
    <col min="7676" max="7676" width="5" customWidth="1"/>
    <col min="7677" max="7677" width="5.85546875" customWidth="1"/>
    <col min="7678" max="7678" width="7.28515625" customWidth="1"/>
    <col min="7679" max="7679" width="6.5703125" customWidth="1"/>
    <col min="7680" max="7680" width="7.28515625" customWidth="1"/>
    <col min="7681" max="7681" width="8.85546875" customWidth="1"/>
    <col min="7682" max="7682" width="13.28515625" customWidth="1"/>
    <col min="7683" max="7683" width="20.42578125" customWidth="1"/>
    <col min="7684" max="7684" width="9.85546875" customWidth="1"/>
    <col min="7685" max="7685" width="5.85546875" customWidth="1"/>
    <col min="7686" max="7686" width="7.28515625" customWidth="1"/>
    <col min="7687" max="7687" width="6.5703125" customWidth="1"/>
    <col min="7688" max="7688" width="7.28515625" customWidth="1"/>
    <col min="7689" max="7689" width="8.85546875" customWidth="1"/>
    <col min="7930" max="7930" width="4.5703125" customWidth="1"/>
    <col min="7931" max="7931" width="26.28515625" customWidth="1"/>
    <col min="7932" max="7932" width="5" customWidth="1"/>
    <col min="7933" max="7933" width="5.85546875" customWidth="1"/>
    <col min="7934" max="7934" width="7.28515625" customWidth="1"/>
    <col min="7935" max="7935" width="6.5703125" customWidth="1"/>
    <col min="7936" max="7936" width="7.28515625" customWidth="1"/>
    <col min="7937" max="7937" width="8.85546875" customWidth="1"/>
    <col min="7938" max="7938" width="13.28515625" customWidth="1"/>
    <col min="7939" max="7939" width="20.42578125" customWidth="1"/>
    <col min="7940" max="7940" width="9.85546875" customWidth="1"/>
    <col min="7941" max="7941" width="5.85546875" customWidth="1"/>
    <col min="7942" max="7942" width="7.28515625" customWidth="1"/>
    <col min="7943" max="7943" width="6.5703125" customWidth="1"/>
    <col min="7944" max="7944" width="7.28515625" customWidth="1"/>
    <col min="7945" max="7945" width="8.85546875" customWidth="1"/>
    <col min="8186" max="8186" width="4.5703125" customWidth="1"/>
    <col min="8187" max="8187" width="26.28515625" customWidth="1"/>
    <col min="8188" max="8188" width="5" customWidth="1"/>
    <col min="8189" max="8189" width="5.85546875" customWidth="1"/>
    <col min="8190" max="8190" width="7.28515625" customWidth="1"/>
    <col min="8191" max="8191" width="6.5703125" customWidth="1"/>
    <col min="8192" max="8192" width="7.28515625" customWidth="1"/>
    <col min="8193" max="8193" width="8.85546875" customWidth="1"/>
    <col min="8194" max="8194" width="13.28515625" customWidth="1"/>
    <col min="8195" max="8195" width="20.42578125" customWidth="1"/>
    <col min="8196" max="8196" width="9.85546875" customWidth="1"/>
    <col min="8197" max="8197" width="5.85546875" customWidth="1"/>
    <col min="8198" max="8198" width="7.28515625" customWidth="1"/>
    <col min="8199" max="8199" width="6.5703125" customWidth="1"/>
    <col min="8200" max="8200" width="7.28515625" customWidth="1"/>
    <col min="8201" max="8201" width="8.85546875" customWidth="1"/>
    <col min="8442" max="8442" width="4.5703125" customWidth="1"/>
    <col min="8443" max="8443" width="26.28515625" customWidth="1"/>
    <col min="8444" max="8444" width="5" customWidth="1"/>
    <col min="8445" max="8445" width="5.85546875" customWidth="1"/>
    <col min="8446" max="8446" width="7.28515625" customWidth="1"/>
    <col min="8447" max="8447" width="6.5703125" customWidth="1"/>
    <col min="8448" max="8448" width="7.28515625" customWidth="1"/>
    <col min="8449" max="8449" width="8.85546875" customWidth="1"/>
    <col min="8450" max="8450" width="13.28515625" customWidth="1"/>
    <col min="8451" max="8451" width="20.42578125" customWidth="1"/>
    <col min="8452" max="8452" width="9.85546875" customWidth="1"/>
    <col min="8453" max="8453" width="5.85546875" customWidth="1"/>
    <col min="8454" max="8454" width="7.28515625" customWidth="1"/>
    <col min="8455" max="8455" width="6.5703125" customWidth="1"/>
    <col min="8456" max="8456" width="7.28515625" customWidth="1"/>
    <col min="8457" max="8457" width="8.85546875" customWidth="1"/>
    <col min="8698" max="8698" width="4.5703125" customWidth="1"/>
    <col min="8699" max="8699" width="26.28515625" customWidth="1"/>
    <col min="8700" max="8700" width="5" customWidth="1"/>
    <col min="8701" max="8701" width="5.85546875" customWidth="1"/>
    <col min="8702" max="8702" width="7.28515625" customWidth="1"/>
    <col min="8703" max="8703" width="6.5703125" customWidth="1"/>
    <col min="8704" max="8704" width="7.28515625" customWidth="1"/>
    <col min="8705" max="8705" width="8.85546875" customWidth="1"/>
    <col min="8706" max="8706" width="13.28515625" customWidth="1"/>
    <col min="8707" max="8707" width="20.42578125" customWidth="1"/>
    <col min="8708" max="8708" width="9.85546875" customWidth="1"/>
    <col min="8709" max="8709" width="5.85546875" customWidth="1"/>
    <col min="8710" max="8710" width="7.28515625" customWidth="1"/>
    <col min="8711" max="8711" width="6.5703125" customWidth="1"/>
    <col min="8712" max="8712" width="7.28515625" customWidth="1"/>
    <col min="8713" max="8713" width="8.85546875" customWidth="1"/>
    <col min="8954" max="8954" width="4.5703125" customWidth="1"/>
    <col min="8955" max="8955" width="26.28515625" customWidth="1"/>
    <col min="8956" max="8956" width="5" customWidth="1"/>
    <col min="8957" max="8957" width="5.85546875" customWidth="1"/>
    <col min="8958" max="8958" width="7.28515625" customWidth="1"/>
    <col min="8959" max="8959" width="6.5703125" customWidth="1"/>
    <col min="8960" max="8960" width="7.28515625" customWidth="1"/>
    <col min="8961" max="8961" width="8.85546875" customWidth="1"/>
    <col min="8962" max="8962" width="13.28515625" customWidth="1"/>
    <col min="8963" max="8963" width="20.42578125" customWidth="1"/>
    <col min="8964" max="8964" width="9.85546875" customWidth="1"/>
    <col min="8965" max="8965" width="5.85546875" customWidth="1"/>
    <col min="8966" max="8966" width="7.28515625" customWidth="1"/>
    <col min="8967" max="8967" width="6.5703125" customWidth="1"/>
    <col min="8968" max="8968" width="7.28515625" customWidth="1"/>
    <col min="8969" max="8969" width="8.85546875" customWidth="1"/>
    <col min="9210" max="9210" width="4.5703125" customWidth="1"/>
    <col min="9211" max="9211" width="26.28515625" customWidth="1"/>
    <col min="9212" max="9212" width="5" customWidth="1"/>
    <col min="9213" max="9213" width="5.85546875" customWidth="1"/>
    <col min="9214" max="9214" width="7.28515625" customWidth="1"/>
    <col min="9215" max="9215" width="6.5703125" customWidth="1"/>
    <col min="9216" max="9216" width="7.28515625" customWidth="1"/>
    <col min="9217" max="9217" width="8.85546875" customWidth="1"/>
    <col min="9218" max="9218" width="13.28515625" customWidth="1"/>
    <col min="9219" max="9219" width="20.42578125" customWidth="1"/>
    <col min="9220" max="9220" width="9.85546875" customWidth="1"/>
    <col min="9221" max="9221" width="5.85546875" customWidth="1"/>
    <col min="9222" max="9222" width="7.28515625" customWidth="1"/>
    <col min="9223" max="9223" width="6.5703125" customWidth="1"/>
    <col min="9224" max="9224" width="7.28515625" customWidth="1"/>
    <col min="9225" max="9225" width="8.85546875" customWidth="1"/>
    <col min="9466" max="9466" width="4.5703125" customWidth="1"/>
    <col min="9467" max="9467" width="26.28515625" customWidth="1"/>
    <col min="9468" max="9468" width="5" customWidth="1"/>
    <col min="9469" max="9469" width="5.85546875" customWidth="1"/>
    <col min="9470" max="9470" width="7.28515625" customWidth="1"/>
    <col min="9471" max="9471" width="6.5703125" customWidth="1"/>
    <col min="9472" max="9472" width="7.28515625" customWidth="1"/>
    <col min="9473" max="9473" width="8.85546875" customWidth="1"/>
    <col min="9474" max="9474" width="13.28515625" customWidth="1"/>
    <col min="9475" max="9475" width="20.42578125" customWidth="1"/>
    <col min="9476" max="9476" width="9.85546875" customWidth="1"/>
    <col min="9477" max="9477" width="5.85546875" customWidth="1"/>
    <col min="9478" max="9478" width="7.28515625" customWidth="1"/>
    <col min="9479" max="9479" width="6.5703125" customWidth="1"/>
    <col min="9480" max="9480" width="7.28515625" customWidth="1"/>
    <col min="9481" max="9481" width="8.85546875" customWidth="1"/>
    <col min="9722" max="9722" width="4.5703125" customWidth="1"/>
    <col min="9723" max="9723" width="26.28515625" customWidth="1"/>
    <col min="9724" max="9724" width="5" customWidth="1"/>
    <col min="9725" max="9725" width="5.85546875" customWidth="1"/>
    <col min="9726" max="9726" width="7.28515625" customWidth="1"/>
    <col min="9727" max="9727" width="6.5703125" customWidth="1"/>
    <col min="9728" max="9728" width="7.28515625" customWidth="1"/>
    <col min="9729" max="9729" width="8.85546875" customWidth="1"/>
    <col min="9730" max="9730" width="13.28515625" customWidth="1"/>
    <col min="9731" max="9731" width="20.42578125" customWidth="1"/>
    <col min="9732" max="9732" width="9.85546875" customWidth="1"/>
    <col min="9733" max="9733" width="5.85546875" customWidth="1"/>
    <col min="9734" max="9734" width="7.28515625" customWidth="1"/>
    <col min="9735" max="9735" width="6.5703125" customWidth="1"/>
    <col min="9736" max="9736" width="7.28515625" customWidth="1"/>
    <col min="9737" max="9737" width="8.85546875" customWidth="1"/>
    <col min="9978" max="9978" width="4.5703125" customWidth="1"/>
    <col min="9979" max="9979" width="26.28515625" customWidth="1"/>
    <col min="9980" max="9980" width="5" customWidth="1"/>
    <col min="9981" max="9981" width="5.85546875" customWidth="1"/>
    <col min="9982" max="9982" width="7.28515625" customWidth="1"/>
    <col min="9983" max="9983" width="6.5703125" customWidth="1"/>
    <col min="9984" max="9984" width="7.28515625" customWidth="1"/>
    <col min="9985" max="9985" width="8.85546875" customWidth="1"/>
    <col min="9986" max="9986" width="13.28515625" customWidth="1"/>
    <col min="9987" max="9987" width="20.42578125" customWidth="1"/>
    <col min="9988" max="9988" width="9.85546875" customWidth="1"/>
    <col min="9989" max="9989" width="5.85546875" customWidth="1"/>
    <col min="9990" max="9990" width="7.28515625" customWidth="1"/>
    <col min="9991" max="9991" width="6.5703125" customWidth="1"/>
    <col min="9992" max="9992" width="7.28515625" customWidth="1"/>
    <col min="9993" max="9993" width="8.85546875" customWidth="1"/>
    <col min="10234" max="10234" width="4.5703125" customWidth="1"/>
    <col min="10235" max="10235" width="26.28515625" customWidth="1"/>
    <col min="10236" max="10236" width="5" customWidth="1"/>
    <col min="10237" max="10237" width="5.85546875" customWidth="1"/>
    <col min="10238" max="10238" width="7.28515625" customWidth="1"/>
    <col min="10239" max="10239" width="6.5703125" customWidth="1"/>
    <col min="10240" max="10240" width="7.28515625" customWidth="1"/>
    <col min="10241" max="10241" width="8.85546875" customWidth="1"/>
    <col min="10242" max="10242" width="13.28515625" customWidth="1"/>
    <col min="10243" max="10243" width="20.42578125" customWidth="1"/>
    <col min="10244" max="10244" width="9.85546875" customWidth="1"/>
    <col min="10245" max="10245" width="5.85546875" customWidth="1"/>
    <col min="10246" max="10246" width="7.28515625" customWidth="1"/>
    <col min="10247" max="10247" width="6.5703125" customWidth="1"/>
    <col min="10248" max="10248" width="7.28515625" customWidth="1"/>
    <col min="10249" max="10249" width="8.85546875" customWidth="1"/>
    <col min="10490" max="10490" width="4.5703125" customWidth="1"/>
    <col min="10491" max="10491" width="26.28515625" customWidth="1"/>
    <col min="10492" max="10492" width="5" customWidth="1"/>
    <col min="10493" max="10493" width="5.85546875" customWidth="1"/>
    <col min="10494" max="10494" width="7.28515625" customWidth="1"/>
    <col min="10495" max="10495" width="6.5703125" customWidth="1"/>
    <col min="10496" max="10496" width="7.28515625" customWidth="1"/>
    <col min="10497" max="10497" width="8.85546875" customWidth="1"/>
    <col min="10498" max="10498" width="13.28515625" customWidth="1"/>
    <col min="10499" max="10499" width="20.42578125" customWidth="1"/>
    <col min="10500" max="10500" width="9.85546875" customWidth="1"/>
    <col min="10501" max="10501" width="5.85546875" customWidth="1"/>
    <col min="10502" max="10502" width="7.28515625" customWidth="1"/>
    <col min="10503" max="10503" width="6.5703125" customWidth="1"/>
    <col min="10504" max="10504" width="7.28515625" customWidth="1"/>
    <col min="10505" max="10505" width="8.85546875" customWidth="1"/>
    <col min="10746" max="10746" width="4.5703125" customWidth="1"/>
    <col min="10747" max="10747" width="26.28515625" customWidth="1"/>
    <col min="10748" max="10748" width="5" customWidth="1"/>
    <col min="10749" max="10749" width="5.85546875" customWidth="1"/>
    <col min="10750" max="10750" width="7.28515625" customWidth="1"/>
    <col min="10751" max="10751" width="6.5703125" customWidth="1"/>
    <col min="10752" max="10752" width="7.28515625" customWidth="1"/>
    <col min="10753" max="10753" width="8.85546875" customWidth="1"/>
    <col min="10754" max="10754" width="13.28515625" customWidth="1"/>
    <col min="10755" max="10755" width="20.42578125" customWidth="1"/>
    <col min="10756" max="10756" width="9.85546875" customWidth="1"/>
    <col min="10757" max="10757" width="5.85546875" customWidth="1"/>
    <col min="10758" max="10758" width="7.28515625" customWidth="1"/>
    <col min="10759" max="10759" width="6.5703125" customWidth="1"/>
    <col min="10760" max="10760" width="7.28515625" customWidth="1"/>
    <col min="10761" max="10761" width="8.85546875" customWidth="1"/>
    <col min="11002" max="11002" width="4.5703125" customWidth="1"/>
    <col min="11003" max="11003" width="26.28515625" customWidth="1"/>
    <col min="11004" max="11004" width="5" customWidth="1"/>
    <col min="11005" max="11005" width="5.85546875" customWidth="1"/>
    <col min="11006" max="11006" width="7.28515625" customWidth="1"/>
    <col min="11007" max="11007" width="6.5703125" customWidth="1"/>
    <col min="11008" max="11008" width="7.28515625" customWidth="1"/>
    <col min="11009" max="11009" width="8.85546875" customWidth="1"/>
    <col min="11010" max="11010" width="13.28515625" customWidth="1"/>
    <col min="11011" max="11011" width="20.42578125" customWidth="1"/>
    <col min="11012" max="11012" width="9.85546875" customWidth="1"/>
    <col min="11013" max="11013" width="5.85546875" customWidth="1"/>
    <col min="11014" max="11014" width="7.28515625" customWidth="1"/>
    <col min="11015" max="11015" width="6.5703125" customWidth="1"/>
    <col min="11016" max="11016" width="7.28515625" customWidth="1"/>
    <col min="11017" max="11017" width="8.85546875" customWidth="1"/>
    <col min="11258" max="11258" width="4.5703125" customWidth="1"/>
    <col min="11259" max="11259" width="26.28515625" customWidth="1"/>
    <col min="11260" max="11260" width="5" customWidth="1"/>
    <col min="11261" max="11261" width="5.85546875" customWidth="1"/>
    <col min="11262" max="11262" width="7.28515625" customWidth="1"/>
    <col min="11263" max="11263" width="6.5703125" customWidth="1"/>
    <col min="11264" max="11264" width="7.28515625" customWidth="1"/>
    <col min="11265" max="11265" width="8.85546875" customWidth="1"/>
    <col min="11266" max="11266" width="13.28515625" customWidth="1"/>
    <col min="11267" max="11267" width="20.42578125" customWidth="1"/>
    <col min="11268" max="11268" width="9.85546875" customWidth="1"/>
    <col min="11269" max="11269" width="5.85546875" customWidth="1"/>
    <col min="11270" max="11270" width="7.28515625" customWidth="1"/>
    <col min="11271" max="11271" width="6.5703125" customWidth="1"/>
    <col min="11272" max="11272" width="7.28515625" customWidth="1"/>
    <col min="11273" max="11273" width="8.85546875" customWidth="1"/>
    <col min="11514" max="11514" width="4.5703125" customWidth="1"/>
    <col min="11515" max="11515" width="26.28515625" customWidth="1"/>
    <col min="11516" max="11516" width="5" customWidth="1"/>
    <col min="11517" max="11517" width="5.85546875" customWidth="1"/>
    <col min="11518" max="11518" width="7.28515625" customWidth="1"/>
    <col min="11519" max="11519" width="6.5703125" customWidth="1"/>
    <col min="11520" max="11520" width="7.28515625" customWidth="1"/>
    <col min="11521" max="11521" width="8.85546875" customWidth="1"/>
    <col min="11522" max="11522" width="13.28515625" customWidth="1"/>
    <col min="11523" max="11523" width="20.42578125" customWidth="1"/>
    <col min="11524" max="11524" width="9.85546875" customWidth="1"/>
    <col min="11525" max="11525" width="5.85546875" customWidth="1"/>
    <col min="11526" max="11526" width="7.28515625" customWidth="1"/>
    <col min="11527" max="11527" width="6.5703125" customWidth="1"/>
    <col min="11528" max="11528" width="7.28515625" customWidth="1"/>
    <col min="11529" max="11529" width="8.85546875" customWidth="1"/>
    <col min="11770" max="11770" width="4.5703125" customWidth="1"/>
    <col min="11771" max="11771" width="26.28515625" customWidth="1"/>
    <col min="11772" max="11772" width="5" customWidth="1"/>
    <col min="11773" max="11773" width="5.85546875" customWidth="1"/>
    <col min="11774" max="11774" width="7.28515625" customWidth="1"/>
    <col min="11775" max="11775" width="6.5703125" customWidth="1"/>
    <col min="11776" max="11776" width="7.28515625" customWidth="1"/>
    <col min="11777" max="11777" width="8.85546875" customWidth="1"/>
    <col min="11778" max="11778" width="13.28515625" customWidth="1"/>
    <col min="11779" max="11779" width="20.42578125" customWidth="1"/>
    <col min="11780" max="11780" width="9.85546875" customWidth="1"/>
    <col min="11781" max="11781" width="5.85546875" customWidth="1"/>
    <col min="11782" max="11782" width="7.28515625" customWidth="1"/>
    <col min="11783" max="11783" width="6.5703125" customWidth="1"/>
    <col min="11784" max="11784" width="7.28515625" customWidth="1"/>
    <col min="11785" max="11785" width="8.85546875" customWidth="1"/>
    <col min="12026" max="12026" width="4.5703125" customWidth="1"/>
    <col min="12027" max="12027" width="26.28515625" customWidth="1"/>
    <col min="12028" max="12028" width="5" customWidth="1"/>
    <col min="12029" max="12029" width="5.85546875" customWidth="1"/>
    <col min="12030" max="12030" width="7.28515625" customWidth="1"/>
    <col min="12031" max="12031" width="6.5703125" customWidth="1"/>
    <col min="12032" max="12032" width="7.28515625" customWidth="1"/>
    <col min="12033" max="12033" width="8.85546875" customWidth="1"/>
    <col min="12034" max="12034" width="13.28515625" customWidth="1"/>
    <col min="12035" max="12035" width="20.42578125" customWidth="1"/>
    <col min="12036" max="12036" width="9.85546875" customWidth="1"/>
    <col min="12037" max="12037" width="5.85546875" customWidth="1"/>
    <col min="12038" max="12038" width="7.28515625" customWidth="1"/>
    <col min="12039" max="12039" width="6.5703125" customWidth="1"/>
    <col min="12040" max="12040" width="7.28515625" customWidth="1"/>
    <col min="12041" max="12041" width="8.85546875" customWidth="1"/>
    <col min="12282" max="12282" width="4.5703125" customWidth="1"/>
    <col min="12283" max="12283" width="26.28515625" customWidth="1"/>
    <col min="12284" max="12284" width="5" customWidth="1"/>
    <col min="12285" max="12285" width="5.85546875" customWidth="1"/>
    <col min="12286" max="12286" width="7.28515625" customWidth="1"/>
    <col min="12287" max="12287" width="6.5703125" customWidth="1"/>
    <col min="12288" max="12288" width="7.28515625" customWidth="1"/>
    <col min="12289" max="12289" width="8.85546875" customWidth="1"/>
    <col min="12290" max="12290" width="13.28515625" customWidth="1"/>
    <col min="12291" max="12291" width="20.42578125" customWidth="1"/>
    <col min="12292" max="12292" width="9.85546875" customWidth="1"/>
    <col min="12293" max="12293" width="5.85546875" customWidth="1"/>
    <col min="12294" max="12294" width="7.28515625" customWidth="1"/>
    <col min="12295" max="12295" width="6.5703125" customWidth="1"/>
    <col min="12296" max="12296" width="7.28515625" customWidth="1"/>
    <col min="12297" max="12297" width="8.85546875" customWidth="1"/>
    <col min="12538" max="12538" width="4.5703125" customWidth="1"/>
    <col min="12539" max="12539" width="26.28515625" customWidth="1"/>
    <col min="12540" max="12540" width="5" customWidth="1"/>
    <col min="12541" max="12541" width="5.85546875" customWidth="1"/>
    <col min="12542" max="12542" width="7.28515625" customWidth="1"/>
    <col min="12543" max="12543" width="6.5703125" customWidth="1"/>
    <col min="12544" max="12544" width="7.28515625" customWidth="1"/>
    <col min="12545" max="12545" width="8.85546875" customWidth="1"/>
    <col min="12546" max="12546" width="13.28515625" customWidth="1"/>
    <col min="12547" max="12547" width="20.42578125" customWidth="1"/>
    <col min="12548" max="12548" width="9.85546875" customWidth="1"/>
    <col min="12549" max="12549" width="5.85546875" customWidth="1"/>
    <col min="12550" max="12550" width="7.28515625" customWidth="1"/>
    <col min="12551" max="12551" width="6.5703125" customWidth="1"/>
    <col min="12552" max="12552" width="7.28515625" customWidth="1"/>
    <col min="12553" max="12553" width="8.85546875" customWidth="1"/>
    <col min="12794" max="12794" width="4.5703125" customWidth="1"/>
    <col min="12795" max="12795" width="26.28515625" customWidth="1"/>
    <col min="12796" max="12796" width="5" customWidth="1"/>
    <col min="12797" max="12797" width="5.85546875" customWidth="1"/>
    <col min="12798" max="12798" width="7.28515625" customWidth="1"/>
    <col min="12799" max="12799" width="6.5703125" customWidth="1"/>
    <col min="12800" max="12800" width="7.28515625" customWidth="1"/>
    <col min="12801" max="12801" width="8.85546875" customWidth="1"/>
    <col min="12802" max="12802" width="13.28515625" customWidth="1"/>
    <col min="12803" max="12803" width="20.42578125" customWidth="1"/>
    <col min="12804" max="12804" width="9.85546875" customWidth="1"/>
    <col min="12805" max="12805" width="5.85546875" customWidth="1"/>
    <col min="12806" max="12806" width="7.28515625" customWidth="1"/>
    <col min="12807" max="12807" width="6.5703125" customWidth="1"/>
    <col min="12808" max="12808" width="7.28515625" customWidth="1"/>
    <col min="12809" max="12809" width="8.85546875" customWidth="1"/>
    <col min="13050" max="13050" width="4.5703125" customWidth="1"/>
    <col min="13051" max="13051" width="26.28515625" customWidth="1"/>
    <col min="13052" max="13052" width="5" customWidth="1"/>
    <col min="13053" max="13053" width="5.85546875" customWidth="1"/>
    <col min="13054" max="13054" width="7.28515625" customWidth="1"/>
    <col min="13055" max="13055" width="6.5703125" customWidth="1"/>
    <col min="13056" max="13056" width="7.28515625" customWidth="1"/>
    <col min="13057" max="13057" width="8.85546875" customWidth="1"/>
    <col min="13058" max="13058" width="13.28515625" customWidth="1"/>
    <col min="13059" max="13059" width="20.42578125" customWidth="1"/>
    <col min="13060" max="13060" width="9.85546875" customWidth="1"/>
    <col min="13061" max="13061" width="5.85546875" customWidth="1"/>
    <col min="13062" max="13062" width="7.28515625" customWidth="1"/>
    <col min="13063" max="13063" width="6.5703125" customWidth="1"/>
    <col min="13064" max="13064" width="7.28515625" customWidth="1"/>
    <col min="13065" max="13065" width="8.85546875" customWidth="1"/>
    <col min="13306" max="13306" width="4.5703125" customWidth="1"/>
    <col min="13307" max="13307" width="26.28515625" customWidth="1"/>
    <col min="13308" max="13308" width="5" customWidth="1"/>
    <col min="13309" max="13309" width="5.85546875" customWidth="1"/>
    <col min="13310" max="13310" width="7.28515625" customWidth="1"/>
    <col min="13311" max="13311" width="6.5703125" customWidth="1"/>
    <col min="13312" max="13312" width="7.28515625" customWidth="1"/>
    <col min="13313" max="13313" width="8.85546875" customWidth="1"/>
    <col min="13314" max="13314" width="13.28515625" customWidth="1"/>
    <col min="13315" max="13315" width="20.42578125" customWidth="1"/>
    <col min="13316" max="13316" width="9.85546875" customWidth="1"/>
    <col min="13317" max="13317" width="5.85546875" customWidth="1"/>
    <col min="13318" max="13318" width="7.28515625" customWidth="1"/>
    <col min="13319" max="13319" width="6.5703125" customWidth="1"/>
    <col min="13320" max="13320" width="7.28515625" customWidth="1"/>
    <col min="13321" max="13321" width="8.85546875" customWidth="1"/>
    <col min="13562" max="13562" width="4.5703125" customWidth="1"/>
    <col min="13563" max="13563" width="26.28515625" customWidth="1"/>
    <col min="13564" max="13564" width="5" customWidth="1"/>
    <col min="13565" max="13565" width="5.85546875" customWidth="1"/>
    <col min="13566" max="13566" width="7.28515625" customWidth="1"/>
    <col min="13567" max="13567" width="6.5703125" customWidth="1"/>
    <col min="13568" max="13568" width="7.28515625" customWidth="1"/>
    <col min="13569" max="13569" width="8.85546875" customWidth="1"/>
    <col min="13570" max="13570" width="13.28515625" customWidth="1"/>
    <col min="13571" max="13571" width="20.42578125" customWidth="1"/>
    <col min="13572" max="13572" width="9.85546875" customWidth="1"/>
    <col min="13573" max="13573" width="5.85546875" customWidth="1"/>
    <col min="13574" max="13574" width="7.28515625" customWidth="1"/>
    <col min="13575" max="13575" width="6.5703125" customWidth="1"/>
    <col min="13576" max="13576" width="7.28515625" customWidth="1"/>
    <col min="13577" max="13577" width="8.85546875" customWidth="1"/>
    <col min="13818" max="13818" width="4.5703125" customWidth="1"/>
    <col min="13819" max="13819" width="26.28515625" customWidth="1"/>
    <col min="13820" max="13820" width="5" customWidth="1"/>
    <col min="13821" max="13821" width="5.85546875" customWidth="1"/>
    <col min="13822" max="13822" width="7.28515625" customWidth="1"/>
    <col min="13823" max="13823" width="6.5703125" customWidth="1"/>
    <col min="13824" max="13824" width="7.28515625" customWidth="1"/>
    <col min="13825" max="13825" width="8.85546875" customWidth="1"/>
    <col min="13826" max="13826" width="13.28515625" customWidth="1"/>
    <col min="13827" max="13827" width="20.42578125" customWidth="1"/>
    <col min="13828" max="13828" width="9.85546875" customWidth="1"/>
    <col min="13829" max="13829" width="5.85546875" customWidth="1"/>
    <col min="13830" max="13830" width="7.28515625" customWidth="1"/>
    <col min="13831" max="13831" width="6.5703125" customWidth="1"/>
    <col min="13832" max="13832" width="7.28515625" customWidth="1"/>
    <col min="13833" max="13833" width="8.85546875" customWidth="1"/>
    <col min="14074" max="14074" width="4.5703125" customWidth="1"/>
    <col min="14075" max="14075" width="26.28515625" customWidth="1"/>
    <col min="14076" max="14076" width="5" customWidth="1"/>
    <col min="14077" max="14077" width="5.85546875" customWidth="1"/>
    <col min="14078" max="14078" width="7.28515625" customWidth="1"/>
    <col min="14079" max="14079" width="6.5703125" customWidth="1"/>
    <col min="14080" max="14080" width="7.28515625" customWidth="1"/>
    <col min="14081" max="14081" width="8.85546875" customWidth="1"/>
    <col min="14082" max="14082" width="13.28515625" customWidth="1"/>
    <col min="14083" max="14083" width="20.42578125" customWidth="1"/>
    <col min="14084" max="14084" width="9.85546875" customWidth="1"/>
    <col min="14085" max="14085" width="5.85546875" customWidth="1"/>
    <col min="14086" max="14086" width="7.28515625" customWidth="1"/>
    <col min="14087" max="14087" width="6.5703125" customWidth="1"/>
    <col min="14088" max="14088" width="7.28515625" customWidth="1"/>
    <col min="14089" max="14089" width="8.85546875" customWidth="1"/>
    <col min="14330" max="14330" width="4.5703125" customWidth="1"/>
    <col min="14331" max="14331" width="26.28515625" customWidth="1"/>
    <col min="14332" max="14332" width="5" customWidth="1"/>
    <col min="14333" max="14333" width="5.85546875" customWidth="1"/>
    <col min="14334" max="14334" width="7.28515625" customWidth="1"/>
    <col min="14335" max="14335" width="6.5703125" customWidth="1"/>
    <col min="14336" max="14336" width="7.28515625" customWidth="1"/>
    <col min="14337" max="14337" width="8.85546875" customWidth="1"/>
    <col min="14338" max="14338" width="13.28515625" customWidth="1"/>
    <col min="14339" max="14339" width="20.42578125" customWidth="1"/>
    <col min="14340" max="14340" width="9.85546875" customWidth="1"/>
    <col min="14341" max="14341" width="5.85546875" customWidth="1"/>
    <col min="14342" max="14342" width="7.28515625" customWidth="1"/>
    <col min="14343" max="14343" width="6.5703125" customWidth="1"/>
    <col min="14344" max="14344" width="7.28515625" customWidth="1"/>
    <col min="14345" max="14345" width="8.85546875" customWidth="1"/>
    <col min="14586" max="14586" width="4.5703125" customWidth="1"/>
    <col min="14587" max="14587" width="26.28515625" customWidth="1"/>
    <col min="14588" max="14588" width="5" customWidth="1"/>
    <col min="14589" max="14589" width="5.85546875" customWidth="1"/>
    <col min="14590" max="14590" width="7.28515625" customWidth="1"/>
    <col min="14591" max="14591" width="6.5703125" customWidth="1"/>
    <col min="14592" max="14592" width="7.28515625" customWidth="1"/>
    <col min="14593" max="14593" width="8.85546875" customWidth="1"/>
    <col min="14594" max="14594" width="13.28515625" customWidth="1"/>
    <col min="14595" max="14595" width="20.42578125" customWidth="1"/>
    <col min="14596" max="14596" width="9.85546875" customWidth="1"/>
    <col min="14597" max="14597" width="5.85546875" customWidth="1"/>
    <col min="14598" max="14598" width="7.28515625" customWidth="1"/>
    <col min="14599" max="14599" width="6.5703125" customWidth="1"/>
    <col min="14600" max="14600" width="7.28515625" customWidth="1"/>
    <col min="14601" max="14601" width="8.85546875" customWidth="1"/>
    <col min="14842" max="14842" width="4.5703125" customWidth="1"/>
    <col min="14843" max="14843" width="26.28515625" customWidth="1"/>
    <col min="14844" max="14844" width="5" customWidth="1"/>
    <col min="14845" max="14845" width="5.85546875" customWidth="1"/>
    <col min="14846" max="14846" width="7.28515625" customWidth="1"/>
    <col min="14847" max="14847" width="6.5703125" customWidth="1"/>
    <col min="14848" max="14848" width="7.28515625" customWidth="1"/>
    <col min="14849" max="14849" width="8.85546875" customWidth="1"/>
    <col min="14850" max="14850" width="13.28515625" customWidth="1"/>
    <col min="14851" max="14851" width="20.42578125" customWidth="1"/>
    <col min="14852" max="14852" width="9.85546875" customWidth="1"/>
    <col min="14853" max="14853" width="5.85546875" customWidth="1"/>
    <col min="14854" max="14854" width="7.28515625" customWidth="1"/>
    <col min="14855" max="14855" width="6.5703125" customWidth="1"/>
    <col min="14856" max="14856" width="7.28515625" customWidth="1"/>
    <col min="14857" max="14857" width="8.85546875" customWidth="1"/>
    <col min="15098" max="15098" width="4.5703125" customWidth="1"/>
    <col min="15099" max="15099" width="26.28515625" customWidth="1"/>
    <col min="15100" max="15100" width="5" customWidth="1"/>
    <col min="15101" max="15101" width="5.85546875" customWidth="1"/>
    <col min="15102" max="15102" width="7.28515625" customWidth="1"/>
    <col min="15103" max="15103" width="6.5703125" customWidth="1"/>
    <col min="15104" max="15104" width="7.28515625" customWidth="1"/>
    <col min="15105" max="15105" width="8.85546875" customWidth="1"/>
    <col min="15106" max="15106" width="13.28515625" customWidth="1"/>
    <col min="15107" max="15107" width="20.42578125" customWidth="1"/>
    <col min="15108" max="15108" width="9.85546875" customWidth="1"/>
    <col min="15109" max="15109" width="5.85546875" customWidth="1"/>
    <col min="15110" max="15110" width="7.28515625" customWidth="1"/>
    <col min="15111" max="15111" width="6.5703125" customWidth="1"/>
    <col min="15112" max="15112" width="7.28515625" customWidth="1"/>
    <col min="15113" max="15113" width="8.85546875" customWidth="1"/>
    <col min="15354" max="15354" width="4.5703125" customWidth="1"/>
    <col min="15355" max="15355" width="26.28515625" customWidth="1"/>
    <col min="15356" max="15356" width="5" customWidth="1"/>
    <col min="15357" max="15357" width="5.85546875" customWidth="1"/>
    <col min="15358" max="15358" width="7.28515625" customWidth="1"/>
    <col min="15359" max="15359" width="6.5703125" customWidth="1"/>
    <col min="15360" max="15360" width="7.28515625" customWidth="1"/>
    <col min="15361" max="15361" width="8.85546875" customWidth="1"/>
    <col min="15362" max="15362" width="13.28515625" customWidth="1"/>
    <col min="15363" max="15363" width="20.42578125" customWidth="1"/>
    <col min="15364" max="15364" width="9.85546875" customWidth="1"/>
    <col min="15365" max="15365" width="5.85546875" customWidth="1"/>
    <col min="15366" max="15366" width="7.28515625" customWidth="1"/>
    <col min="15367" max="15367" width="6.5703125" customWidth="1"/>
    <col min="15368" max="15368" width="7.28515625" customWidth="1"/>
    <col min="15369" max="15369" width="8.85546875" customWidth="1"/>
    <col min="15610" max="15610" width="4.5703125" customWidth="1"/>
    <col min="15611" max="15611" width="26.28515625" customWidth="1"/>
    <col min="15612" max="15612" width="5" customWidth="1"/>
    <col min="15613" max="15613" width="5.85546875" customWidth="1"/>
    <col min="15614" max="15614" width="7.28515625" customWidth="1"/>
    <col min="15615" max="15615" width="6.5703125" customWidth="1"/>
    <col min="15616" max="15616" width="7.28515625" customWidth="1"/>
    <col min="15617" max="15617" width="8.85546875" customWidth="1"/>
    <col min="15618" max="15618" width="13.28515625" customWidth="1"/>
    <col min="15619" max="15619" width="20.42578125" customWidth="1"/>
    <col min="15620" max="15620" width="9.85546875" customWidth="1"/>
    <col min="15621" max="15621" width="5.85546875" customWidth="1"/>
    <col min="15622" max="15622" width="7.28515625" customWidth="1"/>
    <col min="15623" max="15623" width="6.5703125" customWidth="1"/>
    <col min="15624" max="15624" width="7.28515625" customWidth="1"/>
    <col min="15625" max="15625" width="8.85546875" customWidth="1"/>
    <col min="15866" max="15866" width="4.5703125" customWidth="1"/>
    <col min="15867" max="15867" width="26.28515625" customWidth="1"/>
    <col min="15868" max="15868" width="5" customWidth="1"/>
    <col min="15869" max="15869" width="5.85546875" customWidth="1"/>
    <col min="15870" max="15870" width="7.28515625" customWidth="1"/>
    <col min="15871" max="15871" width="6.5703125" customWidth="1"/>
    <col min="15872" max="15872" width="7.28515625" customWidth="1"/>
    <col min="15873" max="15873" width="8.85546875" customWidth="1"/>
    <col min="15874" max="15874" width="13.28515625" customWidth="1"/>
    <col min="15875" max="15875" width="20.42578125" customWidth="1"/>
    <col min="15876" max="15876" width="9.85546875" customWidth="1"/>
    <col min="15877" max="15877" width="5.85546875" customWidth="1"/>
    <col min="15878" max="15878" width="7.28515625" customWidth="1"/>
    <col min="15879" max="15879" width="6.5703125" customWidth="1"/>
    <col min="15880" max="15880" width="7.28515625" customWidth="1"/>
    <col min="15881" max="15881" width="8.85546875" customWidth="1"/>
    <col min="16122" max="16122" width="4.5703125" customWidth="1"/>
    <col min="16123" max="16123" width="26.28515625" customWidth="1"/>
    <col min="16124" max="16124" width="5" customWidth="1"/>
    <col min="16125" max="16125" width="5.85546875" customWidth="1"/>
    <col min="16126" max="16126" width="7.28515625" customWidth="1"/>
    <col min="16127" max="16127" width="6.5703125" customWidth="1"/>
    <col min="16128" max="16128" width="7.28515625" customWidth="1"/>
    <col min="16129" max="16129" width="8.85546875" customWidth="1"/>
    <col min="16130" max="16130" width="13.28515625" customWidth="1"/>
    <col min="16131" max="16131" width="20.42578125" customWidth="1"/>
    <col min="16132" max="16132" width="9.85546875" customWidth="1"/>
    <col min="16133" max="16133" width="5.85546875" customWidth="1"/>
    <col min="16134" max="16134" width="7.28515625" customWidth="1"/>
    <col min="16135" max="16135" width="6.5703125" customWidth="1"/>
    <col min="16136" max="16136" width="7.28515625" customWidth="1"/>
    <col min="16137" max="16137" width="8.85546875" customWidth="1"/>
  </cols>
  <sheetData>
    <row r="1" spans="1:10" ht="18.75" customHeight="1">
      <c r="A1" s="55" t="s">
        <v>39</v>
      </c>
      <c r="B1" s="55"/>
      <c r="C1" s="56"/>
      <c r="D1" s="57"/>
      <c r="E1" s="58"/>
      <c r="F1" s="59"/>
      <c r="G1" s="59"/>
      <c r="H1" s="60"/>
      <c r="I1" s="270"/>
      <c r="J1" s="61" t="s">
        <v>330</v>
      </c>
    </row>
    <row r="2" spans="1:10" ht="16.5" customHeight="1">
      <c r="A2" s="492" t="s">
        <v>331</v>
      </c>
      <c r="B2" s="492"/>
      <c r="C2" s="56"/>
      <c r="D2" s="57"/>
      <c r="E2" s="58"/>
      <c r="F2" s="60"/>
      <c r="G2" s="60"/>
      <c r="H2" s="60"/>
      <c r="I2" s="270"/>
      <c r="J2" s="63">
        <v>40816</v>
      </c>
    </row>
    <row r="3" spans="1:10" ht="4.5" customHeight="1" thickBot="1">
      <c r="A3" s="64"/>
      <c r="B3" s="65"/>
      <c r="C3" s="65"/>
      <c r="D3" s="66"/>
      <c r="E3" s="67"/>
      <c r="F3" s="68"/>
      <c r="G3" s="68"/>
      <c r="H3" s="68"/>
      <c r="I3" s="271"/>
      <c r="J3" s="69"/>
    </row>
    <row r="4" spans="1:10" ht="18" customHeight="1">
      <c r="A4" s="493" t="s">
        <v>0</v>
      </c>
      <c r="B4" s="495" t="s">
        <v>43</v>
      </c>
      <c r="C4" s="497" t="s">
        <v>44</v>
      </c>
      <c r="D4" s="499" t="s">
        <v>45</v>
      </c>
      <c r="E4" s="523" t="s">
        <v>46</v>
      </c>
      <c r="F4" s="524"/>
      <c r="G4" s="525"/>
      <c r="H4" s="501" t="s">
        <v>103</v>
      </c>
      <c r="I4" s="272" t="s">
        <v>48</v>
      </c>
      <c r="J4" s="484" t="s">
        <v>49</v>
      </c>
    </row>
    <row r="5" spans="1:10" ht="27">
      <c r="A5" s="494"/>
      <c r="B5" s="496"/>
      <c r="C5" s="498"/>
      <c r="D5" s="500"/>
      <c r="E5" s="70" t="s">
        <v>50</v>
      </c>
      <c r="F5" s="70" t="s">
        <v>332</v>
      </c>
      <c r="G5" s="70" t="s">
        <v>333</v>
      </c>
      <c r="H5" s="502"/>
      <c r="I5" s="273" t="s">
        <v>334</v>
      </c>
      <c r="J5" s="485"/>
    </row>
    <row r="6" spans="1:10" ht="15" customHeight="1">
      <c r="A6" s="72">
        <v>1</v>
      </c>
      <c r="B6" s="73">
        <v>2</v>
      </c>
      <c r="C6" s="73">
        <v>3</v>
      </c>
      <c r="D6" s="73">
        <v>4</v>
      </c>
      <c r="E6" s="73">
        <v>5</v>
      </c>
      <c r="F6" s="73">
        <v>6</v>
      </c>
      <c r="G6" s="73">
        <v>7</v>
      </c>
      <c r="H6" s="73">
        <v>8</v>
      </c>
      <c r="I6" s="73">
        <v>9</v>
      </c>
      <c r="J6" s="74">
        <v>10</v>
      </c>
    </row>
    <row r="7" spans="1:10" ht="15" customHeight="1">
      <c r="A7" s="274"/>
      <c r="B7" s="275" t="s">
        <v>335</v>
      </c>
      <c r="C7" s="276"/>
      <c r="D7" s="276"/>
      <c r="E7" s="276"/>
      <c r="F7" s="276"/>
      <c r="G7" s="276"/>
      <c r="H7" s="276"/>
      <c r="I7" s="277">
        <f>I8*2</f>
        <v>712.20210000000009</v>
      </c>
      <c r="J7" s="278"/>
    </row>
    <row r="8" spans="1:10" ht="15" customHeight="1">
      <c r="A8" s="75"/>
      <c r="B8" s="279" t="s">
        <v>336</v>
      </c>
      <c r="C8" s="280"/>
      <c r="D8" s="280"/>
      <c r="E8" s="280"/>
      <c r="F8" s="280"/>
      <c r="G8" s="280"/>
      <c r="H8" s="280"/>
      <c r="I8" s="281">
        <f>I9</f>
        <v>356.10105000000004</v>
      </c>
      <c r="J8" s="282"/>
    </row>
    <row r="9" spans="1:10" ht="16.5" customHeight="1">
      <c r="A9" s="283"/>
      <c r="B9" s="284" t="s">
        <v>337</v>
      </c>
      <c r="C9" s="284"/>
      <c r="D9" s="285"/>
      <c r="E9" s="286"/>
      <c r="F9" s="286"/>
      <c r="G9" s="286"/>
      <c r="H9" s="287"/>
      <c r="I9" s="288">
        <f>SUM(I10,I18:I19,I26,I29,I36:I37,I44:I45,I52:I53,I60:I61,I64:I65,I72:I73,I80:I81,I88:I89,I92:I93,I100:I101,I108:I109,I116:I117,I123:I124,I128:I129,I136)</f>
        <v>356.10105000000004</v>
      </c>
      <c r="J9" s="289"/>
    </row>
    <row r="10" spans="1:10" collapsed="1">
      <c r="A10" s="290"/>
      <c r="B10" s="291" t="s">
        <v>338</v>
      </c>
      <c r="C10" s="292"/>
      <c r="D10" s="293"/>
      <c r="E10" s="294"/>
      <c r="F10" s="295"/>
      <c r="G10" s="294"/>
      <c r="H10" s="296"/>
      <c r="I10" s="297">
        <f>SUBTOTAL(9,I11:I17)</f>
        <v>16.829799999999999</v>
      </c>
      <c r="J10" s="298"/>
    </row>
    <row r="11" spans="1:10" hidden="1" outlineLevel="1">
      <c r="A11" s="299"/>
      <c r="B11" s="300" t="s">
        <v>339</v>
      </c>
      <c r="C11" s="301"/>
      <c r="D11" s="194">
        <v>1</v>
      </c>
      <c r="E11" s="302">
        <v>3.38</v>
      </c>
      <c r="F11" s="303">
        <v>3.395</v>
      </c>
      <c r="G11" s="303"/>
      <c r="H11" s="112">
        <f t="shared" ref="H11:H17" si="0">PRODUCT(E11:G11)</f>
        <v>11.475099999999999</v>
      </c>
      <c r="I11" s="304">
        <f t="shared" ref="I11:I17" si="1">H11*D11</f>
        <v>11.475099999999999</v>
      </c>
      <c r="J11" s="305"/>
    </row>
    <row r="12" spans="1:10" hidden="1" outlineLevel="1">
      <c r="A12" s="299"/>
      <c r="B12" s="300" t="s">
        <v>339</v>
      </c>
      <c r="C12" s="301"/>
      <c r="D12" s="194">
        <v>1</v>
      </c>
      <c r="E12" s="302">
        <v>0.75</v>
      </c>
      <c r="F12" s="303">
        <v>1.145</v>
      </c>
      <c r="G12" s="303"/>
      <c r="H12" s="112">
        <f t="shared" si="0"/>
        <v>0.85875000000000001</v>
      </c>
      <c r="I12" s="304">
        <f t="shared" si="1"/>
        <v>0.85875000000000001</v>
      </c>
      <c r="J12" s="305"/>
    </row>
    <row r="13" spans="1:10" hidden="1" outlineLevel="1">
      <c r="A13" s="299"/>
      <c r="B13" s="300" t="s">
        <v>340</v>
      </c>
      <c r="C13" s="301"/>
      <c r="D13" s="194">
        <v>-1</v>
      </c>
      <c r="E13" s="302">
        <v>1.5449999999999999</v>
      </c>
      <c r="F13" s="306">
        <v>0.84</v>
      </c>
      <c r="G13" s="306"/>
      <c r="H13" s="112">
        <f t="shared" si="0"/>
        <v>1.2977999999999998</v>
      </c>
      <c r="I13" s="304">
        <f t="shared" si="1"/>
        <v>-1.2977999999999998</v>
      </c>
      <c r="J13" s="305"/>
    </row>
    <row r="14" spans="1:10" hidden="1" outlineLevel="1">
      <c r="A14" s="299"/>
      <c r="B14" s="300" t="s">
        <v>341</v>
      </c>
      <c r="C14" s="301"/>
      <c r="D14" s="194">
        <v>1</v>
      </c>
      <c r="E14" s="302">
        <v>3.145</v>
      </c>
      <c r="F14" s="306"/>
      <c r="G14" s="307">
        <v>0.35</v>
      </c>
      <c r="H14" s="112">
        <f>PRODUCT(E14:G14)</f>
        <v>1.1007499999999999</v>
      </c>
      <c r="I14" s="304">
        <f t="shared" si="1"/>
        <v>1.1007499999999999</v>
      </c>
      <c r="J14" s="305"/>
    </row>
    <row r="15" spans="1:10" hidden="1" outlineLevel="1">
      <c r="A15" s="299"/>
      <c r="B15" s="300" t="s">
        <v>342</v>
      </c>
      <c r="C15" s="301"/>
      <c r="D15" s="194">
        <v>1</v>
      </c>
      <c r="E15" s="308">
        <v>1.17</v>
      </c>
      <c r="F15" s="306"/>
      <c r="G15" s="307">
        <v>0.5</v>
      </c>
      <c r="H15" s="112">
        <f>PRODUCT(E15:G15)</f>
        <v>0.58499999999999996</v>
      </c>
      <c r="I15" s="304">
        <f t="shared" si="1"/>
        <v>0.58499999999999996</v>
      </c>
      <c r="J15" s="305"/>
    </row>
    <row r="16" spans="1:10" hidden="1" outlineLevel="1">
      <c r="A16" s="299"/>
      <c r="B16" s="300" t="s">
        <v>343</v>
      </c>
      <c r="C16" s="301"/>
      <c r="D16" s="194">
        <v>2</v>
      </c>
      <c r="E16" s="302">
        <f>E11+F11+E12+F12</f>
        <v>8.67</v>
      </c>
      <c r="F16" s="306"/>
      <c r="G16" s="306">
        <v>0.2</v>
      </c>
      <c r="H16" s="112">
        <f t="shared" si="0"/>
        <v>1.734</v>
      </c>
      <c r="I16" s="304">
        <f t="shared" si="1"/>
        <v>3.468</v>
      </c>
      <c r="J16" s="305"/>
    </row>
    <row r="17" spans="1:10" hidden="1" outlineLevel="1">
      <c r="A17" s="299"/>
      <c r="B17" s="300" t="s">
        <v>344</v>
      </c>
      <c r="C17" s="301"/>
      <c r="D17" s="194">
        <v>2</v>
      </c>
      <c r="E17" s="302">
        <f>0.95+0.65</f>
        <v>1.6</v>
      </c>
      <c r="F17" s="306"/>
      <c r="G17" s="306">
        <v>0.2</v>
      </c>
      <c r="H17" s="112">
        <f t="shared" si="0"/>
        <v>0.32000000000000006</v>
      </c>
      <c r="I17" s="304">
        <f t="shared" si="1"/>
        <v>0.64000000000000012</v>
      </c>
      <c r="J17" s="305"/>
    </row>
    <row r="18" spans="1:10">
      <c r="A18" s="290"/>
      <c r="B18" s="291" t="s">
        <v>345</v>
      </c>
      <c r="C18" s="309"/>
      <c r="D18" s="293"/>
      <c r="E18" s="294"/>
      <c r="F18" s="295"/>
      <c r="G18" s="294"/>
      <c r="H18" s="310"/>
      <c r="I18" s="297">
        <f>I10</f>
        <v>16.829799999999999</v>
      </c>
      <c r="J18" s="298"/>
    </row>
    <row r="19" spans="1:10" collapsed="1">
      <c r="A19" s="290"/>
      <c r="B19" s="291" t="s">
        <v>346</v>
      </c>
      <c r="C19" s="309"/>
      <c r="D19" s="293"/>
      <c r="E19" s="294"/>
      <c r="F19" s="295"/>
      <c r="G19" s="294"/>
      <c r="H19" s="310"/>
      <c r="I19" s="297">
        <f>SUBTOTAL(9,I20:I25)</f>
        <v>11.4641</v>
      </c>
      <c r="J19" s="298"/>
    </row>
    <row r="20" spans="1:10" hidden="1" outlineLevel="1">
      <c r="A20" s="299"/>
      <c r="B20" s="300" t="s">
        <v>339</v>
      </c>
      <c r="C20" s="301"/>
      <c r="D20" s="194">
        <v>1</v>
      </c>
      <c r="E20" s="302">
        <v>4.29</v>
      </c>
      <c r="F20" s="303">
        <v>1.84</v>
      </c>
      <c r="G20" s="303"/>
      <c r="H20" s="112">
        <f t="shared" ref="H20:H25" si="2">PRODUCT(E20:G20)</f>
        <v>7.8936000000000002</v>
      </c>
      <c r="I20" s="304">
        <f t="shared" ref="I20:I25" si="3">H20*D20</f>
        <v>7.8936000000000002</v>
      </c>
      <c r="J20" s="305"/>
    </row>
    <row r="21" spans="1:10" hidden="1" outlineLevel="1">
      <c r="A21" s="299"/>
      <c r="B21" s="300" t="s">
        <v>340</v>
      </c>
      <c r="C21" s="301"/>
      <c r="D21" s="194">
        <v>-1</v>
      </c>
      <c r="E21" s="302">
        <v>1.32</v>
      </c>
      <c r="F21" s="306">
        <v>0.6</v>
      </c>
      <c r="G21" s="306"/>
      <c r="H21" s="112">
        <f t="shared" si="2"/>
        <v>0.79200000000000004</v>
      </c>
      <c r="I21" s="304">
        <f t="shared" si="3"/>
        <v>-0.79200000000000004</v>
      </c>
      <c r="J21" s="305"/>
    </row>
    <row r="22" spans="1:10" hidden="1" outlineLevel="1">
      <c r="A22" s="299"/>
      <c r="B22" s="300" t="s">
        <v>341</v>
      </c>
      <c r="C22" s="301"/>
      <c r="D22" s="194">
        <v>1</v>
      </c>
      <c r="E22" s="302">
        <v>1.1299999999999999</v>
      </c>
      <c r="F22" s="306"/>
      <c r="G22" s="307">
        <v>0.35</v>
      </c>
      <c r="H22" s="112">
        <f t="shared" si="2"/>
        <v>0.39549999999999996</v>
      </c>
      <c r="I22" s="304">
        <f t="shared" si="3"/>
        <v>0.39549999999999996</v>
      </c>
      <c r="J22" s="305"/>
    </row>
    <row r="23" spans="1:10" hidden="1" outlineLevel="1">
      <c r="A23" s="299"/>
      <c r="B23" s="300" t="s">
        <v>342</v>
      </c>
      <c r="C23" s="301"/>
      <c r="D23" s="194">
        <v>1</v>
      </c>
      <c r="E23" s="308">
        <f>2*0.9+F20-E22</f>
        <v>2.5100000000000002</v>
      </c>
      <c r="F23" s="306"/>
      <c r="G23" s="307">
        <v>0.5</v>
      </c>
      <c r="H23" s="112">
        <f t="shared" si="2"/>
        <v>1.2550000000000001</v>
      </c>
      <c r="I23" s="304">
        <f t="shared" si="3"/>
        <v>1.2550000000000001</v>
      </c>
      <c r="J23" s="305"/>
    </row>
    <row r="24" spans="1:10" hidden="1" outlineLevel="1">
      <c r="A24" s="299"/>
      <c r="B24" s="300" t="s">
        <v>343</v>
      </c>
      <c r="C24" s="301"/>
      <c r="D24" s="194">
        <v>2</v>
      </c>
      <c r="E24" s="302">
        <f>E20+F20</f>
        <v>6.13</v>
      </c>
      <c r="F24" s="306"/>
      <c r="G24" s="306">
        <v>0.2</v>
      </c>
      <c r="H24" s="112">
        <f t="shared" si="2"/>
        <v>1.226</v>
      </c>
      <c r="I24" s="304">
        <f t="shared" si="3"/>
        <v>2.452</v>
      </c>
      <c r="J24" s="305"/>
    </row>
    <row r="25" spans="1:10" hidden="1" outlineLevel="1">
      <c r="A25" s="299"/>
      <c r="B25" s="300" t="s">
        <v>344</v>
      </c>
      <c r="C25" s="301"/>
      <c r="D25" s="194">
        <v>2</v>
      </c>
      <c r="E25" s="302">
        <v>0.65</v>
      </c>
      <c r="F25" s="306"/>
      <c r="G25" s="306">
        <v>0.2</v>
      </c>
      <c r="H25" s="112">
        <f t="shared" si="2"/>
        <v>0.13</v>
      </c>
      <c r="I25" s="304">
        <f t="shared" si="3"/>
        <v>0.26</v>
      </c>
      <c r="J25" s="305"/>
    </row>
    <row r="26" spans="1:10" collapsed="1">
      <c r="A26" s="290"/>
      <c r="B26" s="291" t="s">
        <v>347</v>
      </c>
      <c r="C26" s="292"/>
      <c r="D26" s="293"/>
      <c r="E26" s="294"/>
      <c r="F26" s="294"/>
      <c r="G26" s="294"/>
      <c r="H26" s="310"/>
      <c r="I26" s="297">
        <f>SUBTOTAL(9,I27:I28)</f>
        <v>6.0605000000000002</v>
      </c>
      <c r="J26" s="298"/>
    </row>
    <row r="27" spans="1:10" hidden="1" outlineLevel="1">
      <c r="A27" s="299"/>
      <c r="B27" s="110" t="s">
        <v>339</v>
      </c>
      <c r="C27" s="311"/>
      <c r="D27" s="312">
        <v>1</v>
      </c>
      <c r="E27" s="307">
        <v>3.95</v>
      </c>
      <c r="F27" s="307">
        <v>1.03</v>
      </c>
      <c r="G27" s="307"/>
      <c r="H27" s="112">
        <f>PRODUCT(E27:G27)</f>
        <v>4.0685000000000002</v>
      </c>
      <c r="I27" s="304">
        <f>H27*D27</f>
        <v>4.0685000000000002</v>
      </c>
      <c r="J27" s="305"/>
    </row>
    <row r="28" spans="1:10" hidden="1" outlineLevel="1">
      <c r="A28" s="313"/>
      <c r="B28" s="314" t="s">
        <v>348</v>
      </c>
      <c r="C28" s="311"/>
      <c r="D28" s="312">
        <v>2</v>
      </c>
      <c r="E28" s="307">
        <f>E27+F27</f>
        <v>4.9800000000000004</v>
      </c>
      <c r="F28" s="307"/>
      <c r="G28" s="307">
        <v>0.2</v>
      </c>
      <c r="H28" s="112">
        <f>PRODUCT(E28:G28)</f>
        <v>0.99600000000000011</v>
      </c>
      <c r="I28" s="304">
        <f>H28*D28</f>
        <v>1.9920000000000002</v>
      </c>
      <c r="J28" s="315"/>
    </row>
    <row r="29" spans="1:10" collapsed="1">
      <c r="A29" s="316"/>
      <c r="B29" s="291" t="s">
        <v>349</v>
      </c>
      <c r="C29" s="317"/>
      <c r="D29" s="318"/>
      <c r="E29" s="319"/>
      <c r="F29" s="320"/>
      <c r="G29" s="321"/>
      <c r="H29" s="310"/>
      <c r="I29" s="297">
        <f>SUBTOTAL(9,I30:I35)</f>
        <v>10.828199999999999</v>
      </c>
      <c r="J29" s="322"/>
    </row>
    <row r="30" spans="1:10" hidden="1" outlineLevel="1">
      <c r="A30" s="313"/>
      <c r="B30" s="300" t="s">
        <v>339</v>
      </c>
      <c r="C30" s="301"/>
      <c r="D30" s="194">
        <v>1</v>
      </c>
      <c r="E30" s="302">
        <v>3.86</v>
      </c>
      <c r="F30" s="303">
        <v>1.87</v>
      </c>
      <c r="G30" s="303"/>
      <c r="H30" s="112">
        <f t="shared" ref="H30:H35" si="4">PRODUCT(E30:G30)</f>
        <v>7.2182000000000004</v>
      </c>
      <c r="I30" s="304">
        <f t="shared" ref="I30:I35" si="5">H30*D30</f>
        <v>7.2182000000000004</v>
      </c>
      <c r="J30" s="323"/>
    </row>
    <row r="31" spans="1:10" hidden="1" outlineLevel="1">
      <c r="A31" s="313"/>
      <c r="B31" s="300" t="s">
        <v>340</v>
      </c>
      <c r="C31" s="301"/>
      <c r="D31" s="194">
        <v>-1</v>
      </c>
      <c r="E31" s="302">
        <v>0.9</v>
      </c>
      <c r="F31" s="306">
        <v>0.6</v>
      </c>
      <c r="G31" s="306"/>
      <c r="H31" s="112">
        <f t="shared" si="4"/>
        <v>0.54</v>
      </c>
      <c r="I31" s="304">
        <f t="shared" si="5"/>
        <v>-0.54</v>
      </c>
      <c r="J31" s="323"/>
    </row>
    <row r="32" spans="1:10" hidden="1" outlineLevel="1">
      <c r="A32" s="313"/>
      <c r="B32" s="300" t="s">
        <v>341</v>
      </c>
      <c r="C32" s="301"/>
      <c r="D32" s="194">
        <v>1</v>
      </c>
      <c r="E32" s="302">
        <v>1.58</v>
      </c>
      <c r="F32" s="306"/>
      <c r="G32" s="307">
        <v>0.35</v>
      </c>
      <c r="H32" s="112">
        <f t="shared" si="4"/>
        <v>0.55299999999999994</v>
      </c>
      <c r="I32" s="304">
        <f t="shared" si="5"/>
        <v>0.55299999999999994</v>
      </c>
      <c r="J32" s="323"/>
    </row>
    <row r="33" spans="1:10" hidden="1" outlineLevel="1">
      <c r="A33" s="313"/>
      <c r="B33" s="300" t="s">
        <v>342</v>
      </c>
      <c r="C33" s="301"/>
      <c r="D33" s="194">
        <v>1</v>
      </c>
      <c r="E33" s="308">
        <f>2*0.9+F30-E32</f>
        <v>2.09</v>
      </c>
      <c r="F33" s="306"/>
      <c r="G33" s="307">
        <v>0.5</v>
      </c>
      <c r="H33" s="112">
        <f t="shared" si="4"/>
        <v>1.0449999999999999</v>
      </c>
      <c r="I33" s="304">
        <f t="shared" si="5"/>
        <v>1.0449999999999999</v>
      </c>
      <c r="J33" s="323"/>
    </row>
    <row r="34" spans="1:10" hidden="1" outlineLevel="1">
      <c r="A34" s="313"/>
      <c r="B34" s="300" t="s">
        <v>343</v>
      </c>
      <c r="C34" s="301"/>
      <c r="D34" s="194">
        <v>2</v>
      </c>
      <c r="E34" s="302">
        <f>E30+F30</f>
        <v>5.73</v>
      </c>
      <c r="F34" s="306"/>
      <c r="G34" s="306">
        <v>0.2</v>
      </c>
      <c r="H34" s="112">
        <f t="shared" si="4"/>
        <v>1.1460000000000001</v>
      </c>
      <c r="I34" s="304">
        <f t="shared" si="5"/>
        <v>2.2920000000000003</v>
      </c>
      <c r="J34" s="323"/>
    </row>
    <row r="35" spans="1:10" hidden="1" outlineLevel="1">
      <c r="A35" s="313"/>
      <c r="B35" s="300" t="s">
        <v>344</v>
      </c>
      <c r="C35" s="301"/>
      <c r="D35" s="194">
        <v>2</v>
      </c>
      <c r="E35" s="302">
        <v>0.65</v>
      </c>
      <c r="F35" s="306"/>
      <c r="G35" s="306">
        <v>0.2</v>
      </c>
      <c r="H35" s="112">
        <f t="shared" si="4"/>
        <v>0.13</v>
      </c>
      <c r="I35" s="304">
        <f t="shared" si="5"/>
        <v>0.26</v>
      </c>
      <c r="J35" s="323"/>
    </row>
    <row r="36" spans="1:10">
      <c r="A36" s="316"/>
      <c r="B36" s="291" t="s">
        <v>350</v>
      </c>
      <c r="C36" s="317"/>
      <c r="D36" s="318"/>
      <c r="E36" s="319"/>
      <c r="F36" s="324"/>
      <c r="G36" s="324"/>
      <c r="H36" s="310"/>
      <c r="I36" s="297">
        <f>I29</f>
        <v>10.828199999999999</v>
      </c>
      <c r="J36" s="322"/>
    </row>
    <row r="37" spans="1:10" collapsed="1">
      <c r="A37" s="316"/>
      <c r="B37" s="291" t="s">
        <v>351</v>
      </c>
      <c r="C37" s="317"/>
      <c r="D37" s="318"/>
      <c r="E37" s="319"/>
      <c r="F37" s="324"/>
      <c r="G37" s="324"/>
      <c r="H37" s="310"/>
      <c r="I37" s="297">
        <f>SUBTOTAL(9,I38:I43)</f>
        <v>10.852</v>
      </c>
      <c r="J37" s="322"/>
    </row>
    <row r="38" spans="1:10" hidden="1" outlineLevel="1">
      <c r="A38" s="313"/>
      <c r="B38" s="300" t="s">
        <v>339</v>
      </c>
      <c r="C38" s="301"/>
      <c r="D38" s="194">
        <v>1</v>
      </c>
      <c r="E38" s="325">
        <v>3.86</v>
      </c>
      <c r="F38" s="306">
        <v>1.875</v>
      </c>
      <c r="G38" s="306"/>
      <c r="H38" s="112">
        <f>PRODUCT(E38:G38)</f>
        <v>7.2374999999999998</v>
      </c>
      <c r="I38" s="304">
        <f t="shared" ref="I38:I43" si="6">H38*D38</f>
        <v>7.2374999999999998</v>
      </c>
      <c r="J38" s="323"/>
    </row>
    <row r="39" spans="1:10" hidden="1" outlineLevel="1">
      <c r="A39" s="313"/>
      <c r="B39" s="300" t="s">
        <v>340</v>
      </c>
      <c r="C39" s="301"/>
      <c r="D39" s="194">
        <v>-1</v>
      </c>
      <c r="E39" s="302">
        <v>0.6</v>
      </c>
      <c r="F39" s="306">
        <v>0.9</v>
      </c>
      <c r="G39" s="306"/>
      <c r="H39" s="112">
        <f t="shared" ref="H39:H51" si="7">PRODUCT(E39:G39)</f>
        <v>0.54</v>
      </c>
      <c r="I39" s="304">
        <f t="shared" si="6"/>
        <v>-0.54</v>
      </c>
      <c r="J39" s="323"/>
    </row>
    <row r="40" spans="1:10" hidden="1" outlineLevel="1">
      <c r="A40" s="313"/>
      <c r="B40" s="300" t="s">
        <v>341</v>
      </c>
      <c r="C40" s="301"/>
      <c r="D40" s="194">
        <v>1</v>
      </c>
      <c r="E40" s="302">
        <v>1.58</v>
      </c>
      <c r="F40" s="306"/>
      <c r="G40" s="307">
        <v>0.35</v>
      </c>
      <c r="H40" s="112">
        <f t="shared" si="7"/>
        <v>0.55299999999999994</v>
      </c>
      <c r="I40" s="304">
        <f t="shared" si="6"/>
        <v>0.55299999999999994</v>
      </c>
      <c r="J40" s="323"/>
    </row>
    <row r="41" spans="1:10" hidden="1" outlineLevel="1">
      <c r="A41" s="313"/>
      <c r="B41" s="300" t="s">
        <v>342</v>
      </c>
      <c r="C41" s="301"/>
      <c r="D41" s="194">
        <v>1</v>
      </c>
      <c r="E41" s="308">
        <f>2*0.9+F38-E40</f>
        <v>2.0949999999999998</v>
      </c>
      <c r="F41" s="306"/>
      <c r="G41" s="307">
        <v>0.5</v>
      </c>
      <c r="H41" s="112">
        <f t="shared" si="7"/>
        <v>1.0474999999999999</v>
      </c>
      <c r="I41" s="304">
        <f t="shared" si="6"/>
        <v>1.0474999999999999</v>
      </c>
      <c r="J41" s="323"/>
    </row>
    <row r="42" spans="1:10" hidden="1" outlineLevel="1">
      <c r="A42" s="313"/>
      <c r="B42" s="300" t="s">
        <v>343</v>
      </c>
      <c r="C42" s="301"/>
      <c r="D42" s="194">
        <v>2</v>
      </c>
      <c r="E42" s="302">
        <f>E38+F38</f>
        <v>5.7349999999999994</v>
      </c>
      <c r="F42" s="306"/>
      <c r="G42" s="307">
        <v>0.2</v>
      </c>
      <c r="H42" s="112">
        <f t="shared" si="7"/>
        <v>1.147</v>
      </c>
      <c r="I42" s="304">
        <f t="shared" si="6"/>
        <v>2.294</v>
      </c>
      <c r="J42" s="323"/>
    </row>
    <row r="43" spans="1:10" hidden="1" outlineLevel="1">
      <c r="A43" s="313"/>
      <c r="B43" s="300" t="s">
        <v>344</v>
      </c>
      <c r="C43" s="301"/>
      <c r="D43" s="194">
        <v>2</v>
      </c>
      <c r="E43" s="302">
        <v>0.65</v>
      </c>
      <c r="F43" s="306"/>
      <c r="G43" s="306">
        <v>0.2</v>
      </c>
      <c r="H43" s="112">
        <f t="shared" si="7"/>
        <v>0.13</v>
      </c>
      <c r="I43" s="304">
        <f t="shared" si="6"/>
        <v>0.26</v>
      </c>
      <c r="J43" s="323"/>
    </row>
    <row r="44" spans="1:10">
      <c r="A44" s="316"/>
      <c r="B44" s="291" t="s">
        <v>352</v>
      </c>
      <c r="C44" s="317"/>
      <c r="D44" s="318"/>
      <c r="E44" s="319"/>
      <c r="F44" s="326"/>
      <c r="G44" s="324"/>
      <c r="H44" s="310"/>
      <c r="I44" s="297">
        <f>I37</f>
        <v>10.852</v>
      </c>
      <c r="J44" s="322"/>
    </row>
    <row r="45" spans="1:10" collapsed="1">
      <c r="A45" s="316"/>
      <c r="B45" s="291" t="s">
        <v>353</v>
      </c>
      <c r="C45" s="317"/>
      <c r="D45" s="327"/>
      <c r="E45" s="328"/>
      <c r="F45" s="329"/>
      <c r="G45" s="330"/>
      <c r="H45" s="310"/>
      <c r="I45" s="297">
        <f>SUBTOTAL(9,I46:I51)</f>
        <v>10.551500000000001</v>
      </c>
      <c r="J45" s="322"/>
    </row>
    <row r="46" spans="1:10" hidden="1" outlineLevel="1">
      <c r="A46" s="313"/>
      <c r="B46" s="300" t="s">
        <v>339</v>
      </c>
      <c r="C46" s="301"/>
      <c r="D46" s="194">
        <v>1</v>
      </c>
      <c r="E46" s="302">
        <v>3.05</v>
      </c>
      <c r="F46" s="306">
        <v>2.0550000000000002</v>
      </c>
      <c r="G46" s="307"/>
      <c r="H46" s="112">
        <f t="shared" si="7"/>
        <v>6.2677500000000004</v>
      </c>
      <c r="I46" s="304">
        <f t="shared" ref="I46:I51" si="8">H46*D46</f>
        <v>6.2677500000000004</v>
      </c>
      <c r="J46" s="323"/>
    </row>
    <row r="47" spans="1:10" hidden="1" outlineLevel="1">
      <c r="A47" s="313"/>
      <c r="B47" s="300" t="s">
        <v>340</v>
      </c>
      <c r="C47" s="301"/>
      <c r="D47" s="194">
        <v>-1</v>
      </c>
      <c r="E47" s="302">
        <v>0.9</v>
      </c>
      <c r="F47" s="306">
        <v>0.9</v>
      </c>
      <c r="G47" s="307"/>
      <c r="H47" s="112">
        <f t="shared" si="7"/>
        <v>0.81</v>
      </c>
      <c r="I47" s="304">
        <f t="shared" si="8"/>
        <v>-0.81</v>
      </c>
      <c r="J47" s="323"/>
    </row>
    <row r="48" spans="1:10" hidden="1" outlineLevel="1">
      <c r="A48" s="313"/>
      <c r="B48" s="300" t="s">
        <v>341</v>
      </c>
      <c r="C48" s="301"/>
      <c r="D48" s="194">
        <v>1</v>
      </c>
      <c r="E48" s="302">
        <v>1.6850000000000001</v>
      </c>
      <c r="F48" s="306"/>
      <c r="G48" s="307">
        <v>0.35</v>
      </c>
      <c r="H48" s="112">
        <f t="shared" si="7"/>
        <v>0.58975</v>
      </c>
      <c r="I48" s="304">
        <f t="shared" si="8"/>
        <v>0.58975</v>
      </c>
      <c r="J48" s="323"/>
    </row>
    <row r="49" spans="1:10" hidden="1" outlineLevel="1">
      <c r="A49" s="313"/>
      <c r="B49" s="300" t="s">
        <v>342</v>
      </c>
      <c r="C49" s="301"/>
      <c r="D49" s="194">
        <v>2</v>
      </c>
      <c r="E49" s="308">
        <f>2*0.9+F46-E48</f>
        <v>2.1700000000000004</v>
      </c>
      <c r="F49" s="306"/>
      <c r="G49" s="307">
        <v>0.5</v>
      </c>
      <c r="H49" s="112">
        <f t="shared" si="7"/>
        <v>1.0850000000000002</v>
      </c>
      <c r="I49" s="304">
        <f t="shared" si="8"/>
        <v>2.1700000000000004</v>
      </c>
      <c r="J49" s="323"/>
    </row>
    <row r="50" spans="1:10" hidden="1" outlineLevel="1">
      <c r="A50" s="313"/>
      <c r="B50" s="300" t="s">
        <v>343</v>
      </c>
      <c r="C50" s="301"/>
      <c r="D50" s="194">
        <v>2</v>
      </c>
      <c r="E50" s="302">
        <f>E46+F46</f>
        <v>5.1050000000000004</v>
      </c>
      <c r="F50" s="306"/>
      <c r="G50" s="307">
        <v>0.2</v>
      </c>
      <c r="H50" s="112">
        <f t="shared" si="7"/>
        <v>1.0210000000000001</v>
      </c>
      <c r="I50" s="304">
        <f t="shared" si="8"/>
        <v>2.0420000000000003</v>
      </c>
      <c r="J50" s="323"/>
    </row>
    <row r="51" spans="1:10" hidden="1" outlineLevel="1">
      <c r="A51" s="313"/>
      <c r="B51" s="300" t="s">
        <v>344</v>
      </c>
      <c r="C51" s="301"/>
      <c r="D51" s="194">
        <v>2</v>
      </c>
      <c r="E51" s="302">
        <v>0.73</v>
      </c>
      <c r="F51" s="306"/>
      <c r="G51" s="306">
        <v>0.2</v>
      </c>
      <c r="H51" s="112">
        <f t="shared" si="7"/>
        <v>0.14599999999999999</v>
      </c>
      <c r="I51" s="304">
        <f t="shared" si="8"/>
        <v>0.29199999999999998</v>
      </c>
      <c r="J51" s="323"/>
    </row>
    <row r="52" spans="1:10">
      <c r="A52" s="316"/>
      <c r="B52" s="291" t="s">
        <v>354</v>
      </c>
      <c r="C52" s="317"/>
      <c r="D52" s="318"/>
      <c r="E52" s="319"/>
      <c r="F52" s="324"/>
      <c r="G52" s="294"/>
      <c r="H52" s="331"/>
      <c r="I52" s="297">
        <f>I45</f>
        <v>10.551500000000001</v>
      </c>
      <c r="J52" s="322"/>
    </row>
    <row r="53" spans="1:10" collapsed="1">
      <c r="A53" s="316"/>
      <c r="B53" s="291" t="s">
        <v>355</v>
      </c>
      <c r="C53" s="317"/>
      <c r="D53" s="327"/>
      <c r="E53" s="328"/>
      <c r="F53" s="330"/>
      <c r="G53" s="330"/>
      <c r="H53" s="332"/>
      <c r="I53" s="297">
        <f>SUBTOTAL(9,I54:I59)</f>
        <v>11.692924999999999</v>
      </c>
      <c r="J53" s="322"/>
    </row>
    <row r="54" spans="1:10" hidden="1" outlineLevel="1">
      <c r="A54" s="313"/>
      <c r="B54" s="300" t="s">
        <v>339</v>
      </c>
      <c r="C54" s="301"/>
      <c r="D54" s="194">
        <v>1</v>
      </c>
      <c r="E54" s="325">
        <v>3.8849999999999998</v>
      </c>
      <c r="F54" s="306">
        <v>2.1549999999999998</v>
      </c>
      <c r="G54" s="306"/>
      <c r="H54" s="112">
        <f>PRODUCT(E54:G54)</f>
        <v>8.3721749999999986</v>
      </c>
      <c r="I54" s="304">
        <f t="shared" ref="I54:I59" si="9">H54*D54</f>
        <v>8.3721749999999986</v>
      </c>
      <c r="J54" s="323"/>
    </row>
    <row r="55" spans="1:10" hidden="1" outlineLevel="1">
      <c r="A55" s="313"/>
      <c r="B55" s="300" t="s">
        <v>340</v>
      </c>
      <c r="C55" s="301"/>
      <c r="D55" s="194">
        <v>-1</v>
      </c>
      <c r="E55" s="302">
        <v>1.2</v>
      </c>
      <c r="F55" s="306">
        <v>0.9</v>
      </c>
      <c r="G55" s="306"/>
      <c r="H55" s="112">
        <f t="shared" ref="H55:H63" si="10">PRODUCT(E55:G55)</f>
        <v>1.08</v>
      </c>
      <c r="I55" s="304">
        <f t="shared" si="9"/>
        <v>-1.08</v>
      </c>
      <c r="J55" s="323"/>
    </row>
    <row r="56" spans="1:10" hidden="1" outlineLevel="1">
      <c r="A56" s="313"/>
      <c r="B56" s="300" t="s">
        <v>341</v>
      </c>
      <c r="C56" s="301"/>
      <c r="D56" s="194">
        <v>1</v>
      </c>
      <c r="E56" s="302">
        <v>1.6850000000000001</v>
      </c>
      <c r="F56" s="306"/>
      <c r="G56" s="307">
        <v>0.35</v>
      </c>
      <c r="H56" s="112">
        <f t="shared" si="10"/>
        <v>0.58975</v>
      </c>
      <c r="I56" s="304">
        <f t="shared" si="9"/>
        <v>0.58975</v>
      </c>
      <c r="J56" s="323"/>
    </row>
    <row r="57" spans="1:10" hidden="1" outlineLevel="1">
      <c r="A57" s="313"/>
      <c r="B57" s="300" t="s">
        <v>342</v>
      </c>
      <c r="C57" s="301"/>
      <c r="D57" s="194">
        <v>1</v>
      </c>
      <c r="E57" s="308">
        <f>2*0.9+F54-E56</f>
        <v>2.27</v>
      </c>
      <c r="F57" s="306"/>
      <c r="G57" s="307">
        <v>0.5</v>
      </c>
      <c r="H57" s="112">
        <f t="shared" si="10"/>
        <v>1.135</v>
      </c>
      <c r="I57" s="304">
        <f t="shared" si="9"/>
        <v>1.135</v>
      </c>
      <c r="J57" s="323"/>
    </row>
    <row r="58" spans="1:10" hidden="1" outlineLevel="1">
      <c r="A58" s="313"/>
      <c r="B58" s="300" t="s">
        <v>343</v>
      </c>
      <c r="C58" s="301"/>
      <c r="D58" s="194">
        <v>2</v>
      </c>
      <c r="E58" s="302">
        <f>E54+F54</f>
        <v>6.0399999999999991</v>
      </c>
      <c r="F58" s="306"/>
      <c r="G58" s="307">
        <v>0.2</v>
      </c>
      <c r="H58" s="112">
        <f t="shared" si="10"/>
        <v>1.208</v>
      </c>
      <c r="I58" s="304">
        <f t="shared" si="9"/>
        <v>2.4159999999999999</v>
      </c>
      <c r="J58" s="323"/>
    </row>
    <row r="59" spans="1:10" hidden="1" outlineLevel="1">
      <c r="A59" s="313"/>
      <c r="B59" s="300" t="s">
        <v>344</v>
      </c>
      <c r="C59" s="301"/>
      <c r="D59" s="194">
        <v>2</v>
      </c>
      <c r="E59" s="302">
        <v>0.65</v>
      </c>
      <c r="F59" s="306"/>
      <c r="G59" s="306">
        <v>0.2</v>
      </c>
      <c r="H59" s="112">
        <f t="shared" si="10"/>
        <v>0.13</v>
      </c>
      <c r="I59" s="304">
        <f t="shared" si="9"/>
        <v>0.26</v>
      </c>
      <c r="J59" s="323"/>
    </row>
    <row r="60" spans="1:10">
      <c r="A60" s="316"/>
      <c r="B60" s="291" t="s">
        <v>356</v>
      </c>
      <c r="C60" s="317"/>
      <c r="D60" s="318"/>
      <c r="E60" s="319"/>
      <c r="F60" s="324"/>
      <c r="G60" s="294"/>
      <c r="H60" s="310"/>
      <c r="I60" s="297">
        <f>I53</f>
        <v>11.692924999999999</v>
      </c>
      <c r="J60" s="322"/>
    </row>
    <row r="61" spans="1:10" collapsed="1">
      <c r="A61" s="316"/>
      <c r="B61" s="291" t="s">
        <v>357</v>
      </c>
      <c r="C61" s="317"/>
      <c r="D61" s="327"/>
      <c r="E61" s="328"/>
      <c r="F61" s="330"/>
      <c r="G61" s="330"/>
      <c r="H61" s="310"/>
      <c r="I61" s="297">
        <f>SUBTOTAL(9,I62:I63)</f>
        <v>4.1181000000000001</v>
      </c>
      <c r="J61" s="322"/>
    </row>
    <row r="62" spans="1:10" hidden="1" outlineLevel="1">
      <c r="A62" s="313"/>
      <c r="B62" s="110" t="s">
        <v>339</v>
      </c>
      <c r="C62" s="301"/>
      <c r="D62" s="194">
        <v>1</v>
      </c>
      <c r="E62" s="302">
        <v>1.39</v>
      </c>
      <c r="F62" s="306">
        <v>1.99</v>
      </c>
      <c r="G62" s="307"/>
      <c r="H62" s="112">
        <f t="shared" si="10"/>
        <v>2.7660999999999998</v>
      </c>
      <c r="I62" s="304">
        <f>H62*D62</f>
        <v>2.7660999999999998</v>
      </c>
      <c r="J62" s="323"/>
    </row>
    <row r="63" spans="1:10" hidden="1" outlineLevel="1">
      <c r="A63" s="313"/>
      <c r="B63" s="300" t="s">
        <v>358</v>
      </c>
      <c r="C63" s="301"/>
      <c r="D63" s="194">
        <v>2</v>
      </c>
      <c r="E63" s="302">
        <f>E62+F62</f>
        <v>3.38</v>
      </c>
      <c r="F63" s="306"/>
      <c r="G63" s="307">
        <v>0.2</v>
      </c>
      <c r="H63" s="112">
        <f t="shared" si="10"/>
        <v>0.67600000000000005</v>
      </c>
      <c r="I63" s="304">
        <f>H63*D63</f>
        <v>1.3520000000000001</v>
      </c>
      <c r="J63" s="323"/>
    </row>
    <row r="64" spans="1:10">
      <c r="A64" s="316"/>
      <c r="B64" s="291" t="s">
        <v>359</v>
      </c>
      <c r="C64" s="317"/>
      <c r="D64" s="318"/>
      <c r="E64" s="319"/>
      <c r="F64" s="324"/>
      <c r="G64" s="294"/>
      <c r="H64" s="331"/>
      <c r="I64" s="297">
        <f>I61</f>
        <v>4.1181000000000001</v>
      </c>
      <c r="J64" s="322"/>
    </row>
    <row r="65" spans="1:10" collapsed="1">
      <c r="A65" s="316"/>
      <c r="B65" s="291" t="s">
        <v>360</v>
      </c>
      <c r="C65" s="317"/>
      <c r="D65" s="327"/>
      <c r="E65" s="328"/>
      <c r="F65" s="330"/>
      <c r="G65" s="330"/>
      <c r="H65" s="332"/>
      <c r="I65" s="297">
        <f>SUBTOTAL(9,I66:I71)</f>
        <v>11.366600000000002</v>
      </c>
      <c r="J65" s="322"/>
    </row>
    <row r="66" spans="1:10" hidden="1" outlineLevel="1">
      <c r="A66" s="313"/>
      <c r="B66" s="300" t="s">
        <v>339</v>
      </c>
      <c r="C66" s="301"/>
      <c r="D66" s="194">
        <v>1</v>
      </c>
      <c r="E66" s="325">
        <v>3.88</v>
      </c>
      <c r="F66" s="306">
        <v>1.82</v>
      </c>
      <c r="G66" s="306"/>
      <c r="H66" s="112">
        <f t="shared" ref="H66:H71" si="11">PRODUCT(E66:G66)</f>
        <v>7.0616000000000003</v>
      </c>
      <c r="I66" s="304">
        <f t="shared" ref="I66:I71" si="12">H66*D66</f>
        <v>7.0616000000000003</v>
      </c>
      <c r="J66" s="323"/>
    </row>
    <row r="67" spans="1:10" hidden="1" outlineLevel="1">
      <c r="A67" s="313"/>
      <c r="B67" s="300" t="s">
        <v>340</v>
      </c>
      <c r="C67" s="301"/>
      <c r="D67" s="194">
        <v>-1</v>
      </c>
      <c r="E67" s="302">
        <v>0.1</v>
      </c>
      <c r="F67" s="306">
        <v>0.8</v>
      </c>
      <c r="G67" s="306"/>
      <c r="H67" s="112">
        <f t="shared" si="11"/>
        <v>8.0000000000000016E-2</v>
      </c>
      <c r="I67" s="304">
        <f t="shared" si="12"/>
        <v>-8.0000000000000016E-2</v>
      </c>
      <c r="J67" s="323"/>
    </row>
    <row r="68" spans="1:10" hidden="1" outlineLevel="1">
      <c r="A68" s="313"/>
      <c r="B68" s="300" t="s">
        <v>341</v>
      </c>
      <c r="C68" s="301"/>
      <c r="D68" s="194">
        <v>1</v>
      </c>
      <c r="E68" s="302">
        <v>1.5</v>
      </c>
      <c r="F68" s="306"/>
      <c r="G68" s="307">
        <v>0.35</v>
      </c>
      <c r="H68" s="112">
        <f t="shared" si="11"/>
        <v>0.52499999999999991</v>
      </c>
      <c r="I68" s="304">
        <f t="shared" si="12"/>
        <v>0.52499999999999991</v>
      </c>
      <c r="J68" s="323"/>
    </row>
    <row r="69" spans="1:10" hidden="1" outlineLevel="1">
      <c r="A69" s="313"/>
      <c r="B69" s="300" t="s">
        <v>342</v>
      </c>
      <c r="C69" s="301"/>
      <c r="D69" s="194">
        <v>1</v>
      </c>
      <c r="E69" s="308">
        <f>2*0.9+F66-E68</f>
        <v>2.12</v>
      </c>
      <c r="F69" s="306"/>
      <c r="G69" s="307">
        <v>0.5</v>
      </c>
      <c r="H69" s="112">
        <f t="shared" si="11"/>
        <v>1.06</v>
      </c>
      <c r="I69" s="304">
        <f t="shared" si="12"/>
        <v>1.06</v>
      </c>
      <c r="J69" s="323"/>
    </row>
    <row r="70" spans="1:10" hidden="1" outlineLevel="1">
      <c r="A70" s="313"/>
      <c r="B70" s="300" t="s">
        <v>343</v>
      </c>
      <c r="C70" s="301"/>
      <c r="D70" s="194">
        <v>2</v>
      </c>
      <c r="E70" s="302">
        <f>E66+F66</f>
        <v>5.7</v>
      </c>
      <c r="F70" s="306"/>
      <c r="G70" s="307">
        <v>0.2</v>
      </c>
      <c r="H70" s="112">
        <f t="shared" si="11"/>
        <v>1.1400000000000001</v>
      </c>
      <c r="I70" s="304">
        <f t="shared" si="12"/>
        <v>2.2800000000000002</v>
      </c>
      <c r="J70" s="323"/>
    </row>
    <row r="71" spans="1:10" hidden="1" outlineLevel="1">
      <c r="A71" s="313"/>
      <c r="B71" s="300" t="s">
        <v>344</v>
      </c>
      <c r="C71" s="301"/>
      <c r="D71" s="194">
        <v>4</v>
      </c>
      <c r="E71" s="302">
        <v>0.65</v>
      </c>
      <c r="F71" s="306"/>
      <c r="G71" s="306">
        <v>0.2</v>
      </c>
      <c r="H71" s="112">
        <f t="shared" si="11"/>
        <v>0.13</v>
      </c>
      <c r="I71" s="304">
        <f t="shared" si="12"/>
        <v>0.52</v>
      </c>
      <c r="J71" s="323"/>
    </row>
    <row r="72" spans="1:10">
      <c r="A72" s="316"/>
      <c r="B72" s="291" t="s">
        <v>361</v>
      </c>
      <c r="C72" s="317"/>
      <c r="D72" s="318"/>
      <c r="E72" s="319"/>
      <c r="F72" s="324"/>
      <c r="G72" s="294"/>
      <c r="H72" s="331"/>
      <c r="I72" s="297">
        <f>I65</f>
        <v>11.366600000000002</v>
      </c>
      <c r="J72" s="322"/>
    </row>
    <row r="73" spans="1:10" collapsed="1">
      <c r="A73" s="316"/>
      <c r="B73" s="291" t="s">
        <v>362</v>
      </c>
      <c r="C73" s="317"/>
      <c r="D73" s="327"/>
      <c r="E73" s="328"/>
      <c r="F73" s="330"/>
      <c r="G73" s="330"/>
      <c r="H73" s="332"/>
      <c r="I73" s="297">
        <f>SUBTOTAL(9,I74:I79)</f>
        <v>11.573599999999999</v>
      </c>
      <c r="J73" s="322"/>
    </row>
    <row r="74" spans="1:10" hidden="1" outlineLevel="1">
      <c r="A74" s="313"/>
      <c r="B74" s="300" t="s">
        <v>339</v>
      </c>
      <c r="C74" s="301"/>
      <c r="D74" s="194">
        <v>1</v>
      </c>
      <c r="E74" s="325">
        <v>3.88</v>
      </c>
      <c r="F74" s="306">
        <v>2.12</v>
      </c>
      <c r="G74" s="306"/>
      <c r="H74" s="112">
        <f t="shared" ref="H74:H79" si="13">PRODUCT(E74:G74)</f>
        <v>8.2256</v>
      </c>
      <c r="I74" s="304">
        <f t="shared" ref="I74:I79" si="14">H74*D74</f>
        <v>8.2256</v>
      </c>
      <c r="J74" s="323"/>
    </row>
    <row r="75" spans="1:10" hidden="1" outlineLevel="1">
      <c r="A75" s="313"/>
      <c r="B75" s="300" t="s">
        <v>340</v>
      </c>
      <c r="C75" s="301"/>
      <c r="D75" s="194">
        <v>-1</v>
      </c>
      <c r="E75" s="302">
        <v>1.1499999999999999</v>
      </c>
      <c r="F75" s="306">
        <v>0.9</v>
      </c>
      <c r="G75" s="306"/>
      <c r="H75" s="112">
        <f t="shared" si="13"/>
        <v>1.0349999999999999</v>
      </c>
      <c r="I75" s="304">
        <f t="shared" si="14"/>
        <v>-1.0349999999999999</v>
      </c>
      <c r="J75" s="323"/>
    </row>
    <row r="76" spans="1:10" hidden="1" outlineLevel="1">
      <c r="A76" s="313"/>
      <c r="B76" s="300" t="s">
        <v>341</v>
      </c>
      <c r="C76" s="301"/>
      <c r="D76" s="194">
        <v>1</v>
      </c>
      <c r="E76" s="302">
        <v>1.58</v>
      </c>
      <c r="F76" s="306"/>
      <c r="G76" s="307">
        <v>0.35</v>
      </c>
      <c r="H76" s="112">
        <f t="shared" si="13"/>
        <v>0.55299999999999994</v>
      </c>
      <c r="I76" s="304">
        <f t="shared" si="14"/>
        <v>0.55299999999999994</v>
      </c>
      <c r="J76" s="323"/>
    </row>
    <row r="77" spans="1:10" hidden="1" outlineLevel="1">
      <c r="A77" s="313"/>
      <c r="B77" s="300" t="s">
        <v>342</v>
      </c>
      <c r="C77" s="301"/>
      <c r="D77" s="194">
        <v>1</v>
      </c>
      <c r="E77" s="308">
        <f>2*0.9+F74-E76</f>
        <v>2.34</v>
      </c>
      <c r="F77" s="306"/>
      <c r="G77" s="307">
        <v>0.5</v>
      </c>
      <c r="H77" s="112">
        <f t="shared" si="13"/>
        <v>1.17</v>
      </c>
      <c r="I77" s="304">
        <f t="shared" si="14"/>
        <v>1.17</v>
      </c>
      <c r="J77" s="323"/>
    </row>
    <row r="78" spans="1:10" hidden="1" outlineLevel="1">
      <c r="A78" s="313"/>
      <c r="B78" s="300" t="s">
        <v>343</v>
      </c>
      <c r="C78" s="301"/>
      <c r="D78" s="194">
        <v>2</v>
      </c>
      <c r="E78" s="302">
        <f>E74+F74</f>
        <v>6</v>
      </c>
      <c r="F78" s="306"/>
      <c r="G78" s="307">
        <v>0.2</v>
      </c>
      <c r="H78" s="112">
        <f t="shared" si="13"/>
        <v>1.2000000000000002</v>
      </c>
      <c r="I78" s="304">
        <f t="shared" si="14"/>
        <v>2.4000000000000004</v>
      </c>
      <c r="J78" s="323"/>
    </row>
    <row r="79" spans="1:10" hidden="1" outlineLevel="1">
      <c r="A79" s="313"/>
      <c r="B79" s="300" t="s">
        <v>344</v>
      </c>
      <c r="C79" s="301"/>
      <c r="D79" s="194">
        <v>2</v>
      </c>
      <c r="E79" s="302">
        <v>0.65</v>
      </c>
      <c r="F79" s="306"/>
      <c r="G79" s="306">
        <v>0.2</v>
      </c>
      <c r="H79" s="112">
        <f t="shared" si="13"/>
        <v>0.13</v>
      </c>
      <c r="I79" s="304">
        <f t="shared" si="14"/>
        <v>0.26</v>
      </c>
      <c r="J79" s="323"/>
    </row>
    <row r="80" spans="1:10">
      <c r="A80" s="316"/>
      <c r="B80" s="291" t="s">
        <v>363</v>
      </c>
      <c r="C80" s="317"/>
      <c r="D80" s="318"/>
      <c r="E80" s="319"/>
      <c r="F80" s="324"/>
      <c r="G80" s="294"/>
      <c r="H80" s="331"/>
      <c r="I80" s="297">
        <f>I73</f>
        <v>11.573599999999999</v>
      </c>
      <c r="J80" s="322"/>
    </row>
    <row r="81" spans="1:10" collapsed="1">
      <c r="A81" s="316"/>
      <c r="B81" s="291" t="s">
        <v>364</v>
      </c>
      <c r="C81" s="317"/>
      <c r="D81" s="327"/>
      <c r="E81" s="328"/>
      <c r="F81" s="333"/>
      <c r="G81" s="333"/>
      <c r="H81" s="332"/>
      <c r="I81" s="297">
        <f>SUBTOTAL(9,I82:I87)</f>
        <v>11.568</v>
      </c>
      <c r="J81" s="322"/>
    </row>
    <row r="82" spans="1:10" hidden="1" outlineLevel="1">
      <c r="A82" s="313"/>
      <c r="B82" s="300" t="s">
        <v>339</v>
      </c>
      <c r="C82" s="301"/>
      <c r="D82" s="194">
        <v>1</v>
      </c>
      <c r="E82" s="325">
        <v>3.88</v>
      </c>
      <c r="F82" s="306">
        <v>2.1</v>
      </c>
      <c r="G82" s="306"/>
      <c r="H82" s="112">
        <f t="shared" ref="H82:H87" si="15">PRODUCT(E82:G82)</f>
        <v>8.1479999999999997</v>
      </c>
      <c r="I82" s="304">
        <f t="shared" ref="I82:I87" si="16">H82*D82</f>
        <v>8.1479999999999997</v>
      </c>
      <c r="J82" s="323"/>
    </row>
    <row r="83" spans="1:10" hidden="1" outlineLevel="1">
      <c r="A83" s="313"/>
      <c r="B83" s="300" t="s">
        <v>340</v>
      </c>
      <c r="C83" s="301"/>
      <c r="D83" s="194">
        <v>-1</v>
      </c>
      <c r="E83" s="302">
        <v>1.05</v>
      </c>
      <c r="F83" s="306">
        <v>0.9</v>
      </c>
      <c r="G83" s="306"/>
      <c r="H83" s="112">
        <f t="shared" si="15"/>
        <v>0.94500000000000006</v>
      </c>
      <c r="I83" s="304">
        <f t="shared" si="16"/>
        <v>-0.94500000000000006</v>
      </c>
      <c r="J83" s="323"/>
    </row>
    <row r="84" spans="1:10" hidden="1" outlineLevel="1">
      <c r="A84" s="313"/>
      <c r="B84" s="300" t="s">
        <v>341</v>
      </c>
      <c r="C84" s="301"/>
      <c r="D84" s="194">
        <v>1</v>
      </c>
      <c r="E84" s="302">
        <v>1.58</v>
      </c>
      <c r="F84" s="306"/>
      <c r="G84" s="307">
        <v>0.35</v>
      </c>
      <c r="H84" s="112">
        <f t="shared" si="15"/>
        <v>0.55299999999999994</v>
      </c>
      <c r="I84" s="304">
        <f t="shared" si="16"/>
        <v>0.55299999999999994</v>
      </c>
      <c r="J84" s="323"/>
    </row>
    <row r="85" spans="1:10" hidden="1" outlineLevel="1">
      <c r="A85" s="313"/>
      <c r="B85" s="300" t="s">
        <v>342</v>
      </c>
      <c r="C85" s="301"/>
      <c r="D85" s="194">
        <v>1</v>
      </c>
      <c r="E85" s="308">
        <f>2*0.9+F82-E84</f>
        <v>2.3200000000000003</v>
      </c>
      <c r="F85" s="306"/>
      <c r="G85" s="307">
        <v>0.5</v>
      </c>
      <c r="H85" s="112">
        <f t="shared" si="15"/>
        <v>1.1600000000000001</v>
      </c>
      <c r="I85" s="304">
        <f t="shared" si="16"/>
        <v>1.1600000000000001</v>
      </c>
      <c r="J85" s="323"/>
    </row>
    <row r="86" spans="1:10" hidden="1" outlineLevel="1">
      <c r="A86" s="313"/>
      <c r="B86" s="300" t="s">
        <v>343</v>
      </c>
      <c r="C86" s="301"/>
      <c r="D86" s="194">
        <v>2</v>
      </c>
      <c r="E86" s="302">
        <f>E82+F82</f>
        <v>5.98</v>
      </c>
      <c r="F86" s="306"/>
      <c r="G86" s="307">
        <v>0.2</v>
      </c>
      <c r="H86" s="112">
        <f t="shared" si="15"/>
        <v>1.1960000000000002</v>
      </c>
      <c r="I86" s="304">
        <f t="shared" si="16"/>
        <v>2.3920000000000003</v>
      </c>
      <c r="J86" s="323"/>
    </row>
    <row r="87" spans="1:10" hidden="1" outlineLevel="1">
      <c r="A87" s="313"/>
      <c r="B87" s="300" t="s">
        <v>344</v>
      </c>
      <c r="C87" s="301"/>
      <c r="D87" s="194">
        <v>2</v>
      </c>
      <c r="E87" s="302">
        <v>0.65</v>
      </c>
      <c r="F87" s="306"/>
      <c r="G87" s="306">
        <v>0.2</v>
      </c>
      <c r="H87" s="112">
        <f t="shared" si="15"/>
        <v>0.13</v>
      </c>
      <c r="I87" s="304">
        <f t="shared" si="16"/>
        <v>0.26</v>
      </c>
      <c r="J87" s="323"/>
    </row>
    <row r="88" spans="1:10">
      <c r="A88" s="316"/>
      <c r="B88" s="291" t="s">
        <v>365</v>
      </c>
      <c r="C88" s="317"/>
      <c r="D88" s="318"/>
      <c r="E88" s="319"/>
      <c r="F88" s="321"/>
      <c r="G88" s="334"/>
      <c r="H88" s="331"/>
      <c r="I88" s="297">
        <f>I81</f>
        <v>11.568</v>
      </c>
      <c r="J88" s="322"/>
    </row>
    <row r="89" spans="1:10" collapsed="1">
      <c r="A89" s="316"/>
      <c r="B89" s="291" t="s">
        <v>366</v>
      </c>
      <c r="C89" s="317"/>
      <c r="D89" s="327"/>
      <c r="E89" s="328"/>
      <c r="F89" s="330"/>
      <c r="G89" s="330"/>
      <c r="H89" s="332"/>
      <c r="I89" s="297">
        <f>SUBTOTAL(9,I90:I91)</f>
        <v>4.1181000000000001</v>
      </c>
      <c r="J89" s="322"/>
    </row>
    <row r="90" spans="1:10" hidden="1" outlineLevel="1">
      <c r="A90" s="313"/>
      <c r="B90" s="110" t="s">
        <v>339</v>
      </c>
      <c r="C90" s="301"/>
      <c r="D90" s="194">
        <v>1</v>
      </c>
      <c r="E90" s="302">
        <v>1.39</v>
      </c>
      <c r="F90" s="306">
        <v>1.99</v>
      </c>
      <c r="G90" s="307"/>
      <c r="H90" s="335">
        <f>F90*E90</f>
        <v>2.7660999999999998</v>
      </c>
      <c r="I90" s="304">
        <f>H90*D90</f>
        <v>2.7660999999999998</v>
      </c>
      <c r="J90" s="323"/>
    </row>
    <row r="91" spans="1:10" hidden="1" outlineLevel="1">
      <c r="A91" s="313"/>
      <c r="B91" s="300" t="s">
        <v>358</v>
      </c>
      <c r="C91" s="301"/>
      <c r="D91" s="194">
        <v>2</v>
      </c>
      <c r="E91" s="302">
        <f>E90+F90</f>
        <v>3.38</v>
      </c>
      <c r="F91" s="306"/>
      <c r="G91" s="307">
        <v>0.2</v>
      </c>
      <c r="H91" s="335">
        <f>(E91+F91)*G91</f>
        <v>0.67600000000000005</v>
      </c>
      <c r="I91" s="304">
        <f>H91*D91</f>
        <v>1.3520000000000001</v>
      </c>
      <c r="J91" s="323"/>
    </row>
    <row r="92" spans="1:10">
      <c r="A92" s="316"/>
      <c r="B92" s="291" t="s">
        <v>367</v>
      </c>
      <c r="C92" s="317"/>
      <c r="D92" s="318"/>
      <c r="E92" s="319"/>
      <c r="F92" s="324"/>
      <c r="G92" s="294"/>
      <c r="H92" s="331"/>
      <c r="I92" s="297">
        <f>I89</f>
        <v>4.1181000000000001</v>
      </c>
      <c r="J92" s="322"/>
    </row>
    <row r="93" spans="1:10" collapsed="1">
      <c r="A93" s="316"/>
      <c r="B93" s="291" t="s">
        <v>368</v>
      </c>
      <c r="C93" s="317"/>
      <c r="D93" s="327"/>
      <c r="E93" s="328"/>
      <c r="F93" s="330"/>
      <c r="G93" s="330"/>
      <c r="H93" s="332"/>
      <c r="I93" s="297">
        <f>SUBTOTAL(9,I94:I99)</f>
        <v>11.366600000000002</v>
      </c>
      <c r="J93" s="322"/>
    </row>
    <row r="94" spans="1:10" hidden="1" outlineLevel="1">
      <c r="A94" s="313"/>
      <c r="B94" s="300" t="s">
        <v>339</v>
      </c>
      <c r="C94" s="301"/>
      <c r="D94" s="194">
        <v>1</v>
      </c>
      <c r="E94" s="325">
        <v>3.88</v>
      </c>
      <c r="F94" s="306">
        <v>1.82</v>
      </c>
      <c r="G94" s="306"/>
      <c r="H94" s="112">
        <f t="shared" ref="H94:H99" si="17">PRODUCT(E94:G94)</f>
        <v>7.0616000000000003</v>
      </c>
      <c r="I94" s="304">
        <f t="shared" ref="I94:I99" si="18">H94*D94</f>
        <v>7.0616000000000003</v>
      </c>
      <c r="J94" s="323"/>
    </row>
    <row r="95" spans="1:10" hidden="1" outlineLevel="1">
      <c r="A95" s="313"/>
      <c r="B95" s="300" t="s">
        <v>340</v>
      </c>
      <c r="C95" s="301"/>
      <c r="D95" s="194">
        <v>-1</v>
      </c>
      <c r="E95" s="302">
        <v>0.1</v>
      </c>
      <c r="F95" s="306">
        <v>0.8</v>
      </c>
      <c r="G95" s="306"/>
      <c r="H95" s="112">
        <f t="shared" si="17"/>
        <v>8.0000000000000016E-2</v>
      </c>
      <c r="I95" s="304">
        <f t="shared" si="18"/>
        <v>-8.0000000000000016E-2</v>
      </c>
      <c r="J95" s="323"/>
    </row>
    <row r="96" spans="1:10" hidden="1" outlineLevel="1">
      <c r="A96" s="313"/>
      <c r="B96" s="300" t="s">
        <v>341</v>
      </c>
      <c r="C96" s="301"/>
      <c r="D96" s="194">
        <v>1</v>
      </c>
      <c r="E96" s="302">
        <v>1.5</v>
      </c>
      <c r="F96" s="306"/>
      <c r="G96" s="307">
        <v>0.35</v>
      </c>
      <c r="H96" s="112">
        <f t="shared" si="17"/>
        <v>0.52499999999999991</v>
      </c>
      <c r="I96" s="304">
        <f t="shared" si="18"/>
        <v>0.52499999999999991</v>
      </c>
      <c r="J96" s="323"/>
    </row>
    <row r="97" spans="1:10" hidden="1" outlineLevel="1">
      <c r="A97" s="313"/>
      <c r="B97" s="300" t="s">
        <v>342</v>
      </c>
      <c r="C97" s="301"/>
      <c r="D97" s="194">
        <v>1</v>
      </c>
      <c r="E97" s="308">
        <f>2*0.9+F94-E96</f>
        <v>2.12</v>
      </c>
      <c r="F97" s="306"/>
      <c r="G97" s="307">
        <v>0.5</v>
      </c>
      <c r="H97" s="112">
        <f t="shared" si="17"/>
        <v>1.06</v>
      </c>
      <c r="I97" s="304">
        <f t="shared" si="18"/>
        <v>1.06</v>
      </c>
      <c r="J97" s="323"/>
    </row>
    <row r="98" spans="1:10" hidden="1" outlineLevel="1">
      <c r="A98" s="313"/>
      <c r="B98" s="300" t="s">
        <v>343</v>
      </c>
      <c r="C98" s="301"/>
      <c r="D98" s="194">
        <v>2</v>
      </c>
      <c r="E98" s="302">
        <f>E94+F94</f>
        <v>5.7</v>
      </c>
      <c r="F98" s="306"/>
      <c r="G98" s="307">
        <v>0.2</v>
      </c>
      <c r="H98" s="112">
        <f t="shared" si="17"/>
        <v>1.1400000000000001</v>
      </c>
      <c r="I98" s="304">
        <f t="shared" si="18"/>
        <v>2.2800000000000002</v>
      </c>
      <c r="J98" s="323"/>
    </row>
    <row r="99" spans="1:10" hidden="1" outlineLevel="1">
      <c r="A99" s="313"/>
      <c r="B99" s="300" t="s">
        <v>344</v>
      </c>
      <c r="C99" s="301"/>
      <c r="D99" s="194">
        <v>4</v>
      </c>
      <c r="E99" s="302">
        <v>0.65</v>
      </c>
      <c r="F99" s="306"/>
      <c r="G99" s="306">
        <v>0.2</v>
      </c>
      <c r="H99" s="112">
        <f t="shared" si="17"/>
        <v>0.13</v>
      </c>
      <c r="I99" s="304">
        <f t="shared" si="18"/>
        <v>0.52</v>
      </c>
      <c r="J99" s="323"/>
    </row>
    <row r="100" spans="1:10">
      <c r="A100" s="316"/>
      <c r="B100" s="291" t="s">
        <v>369</v>
      </c>
      <c r="C100" s="317"/>
      <c r="D100" s="318"/>
      <c r="E100" s="319"/>
      <c r="F100" s="324"/>
      <c r="G100" s="294"/>
      <c r="H100" s="331"/>
      <c r="I100" s="297">
        <f>I93</f>
        <v>11.366600000000002</v>
      </c>
      <c r="J100" s="322"/>
    </row>
    <row r="101" spans="1:10" collapsed="1">
      <c r="A101" s="316"/>
      <c r="B101" s="291" t="s">
        <v>370</v>
      </c>
      <c r="C101" s="317"/>
      <c r="D101" s="327"/>
      <c r="E101" s="328"/>
      <c r="F101" s="330"/>
      <c r="G101" s="330"/>
      <c r="H101" s="332"/>
      <c r="I101" s="297">
        <f>SUBTOTAL(9,I102:I107)</f>
        <v>11.573599999999999</v>
      </c>
      <c r="J101" s="322"/>
    </row>
    <row r="102" spans="1:10" hidden="1" outlineLevel="1">
      <c r="A102" s="313"/>
      <c r="B102" s="300" t="s">
        <v>339</v>
      </c>
      <c r="C102" s="301"/>
      <c r="D102" s="194">
        <v>1</v>
      </c>
      <c r="E102" s="325">
        <v>3.88</v>
      </c>
      <c r="F102" s="306">
        <v>2.12</v>
      </c>
      <c r="G102" s="306"/>
      <c r="H102" s="112">
        <f t="shared" ref="H102:H107" si="19">PRODUCT(E102:G102)</f>
        <v>8.2256</v>
      </c>
      <c r="I102" s="304">
        <f t="shared" ref="I102:I107" si="20">H102*D102</f>
        <v>8.2256</v>
      </c>
      <c r="J102" s="323"/>
    </row>
    <row r="103" spans="1:10" hidden="1" outlineLevel="1">
      <c r="A103" s="313"/>
      <c r="B103" s="300" t="s">
        <v>340</v>
      </c>
      <c r="C103" s="301"/>
      <c r="D103" s="194">
        <v>-1</v>
      </c>
      <c r="E103" s="302">
        <v>1.1499999999999999</v>
      </c>
      <c r="F103" s="306">
        <v>0.9</v>
      </c>
      <c r="G103" s="306"/>
      <c r="H103" s="112">
        <f t="shared" si="19"/>
        <v>1.0349999999999999</v>
      </c>
      <c r="I103" s="304">
        <f t="shared" si="20"/>
        <v>-1.0349999999999999</v>
      </c>
      <c r="J103" s="323"/>
    </row>
    <row r="104" spans="1:10" hidden="1" outlineLevel="1">
      <c r="A104" s="313"/>
      <c r="B104" s="300" t="s">
        <v>341</v>
      </c>
      <c r="C104" s="301"/>
      <c r="D104" s="194">
        <v>1</v>
      </c>
      <c r="E104" s="302">
        <v>1.58</v>
      </c>
      <c r="F104" s="306"/>
      <c r="G104" s="307">
        <v>0.35</v>
      </c>
      <c r="H104" s="112">
        <f t="shared" si="19"/>
        <v>0.55299999999999994</v>
      </c>
      <c r="I104" s="304">
        <f t="shared" si="20"/>
        <v>0.55299999999999994</v>
      </c>
      <c r="J104" s="323"/>
    </row>
    <row r="105" spans="1:10" hidden="1" outlineLevel="1">
      <c r="A105" s="313"/>
      <c r="B105" s="300" t="s">
        <v>342</v>
      </c>
      <c r="C105" s="301"/>
      <c r="D105" s="194">
        <v>1</v>
      </c>
      <c r="E105" s="308">
        <f>2*0.9+F102-E104</f>
        <v>2.34</v>
      </c>
      <c r="F105" s="306"/>
      <c r="G105" s="307">
        <v>0.5</v>
      </c>
      <c r="H105" s="112">
        <f t="shared" si="19"/>
        <v>1.17</v>
      </c>
      <c r="I105" s="304">
        <f t="shared" si="20"/>
        <v>1.17</v>
      </c>
      <c r="J105" s="323"/>
    </row>
    <row r="106" spans="1:10" hidden="1" outlineLevel="1">
      <c r="A106" s="313"/>
      <c r="B106" s="300" t="s">
        <v>343</v>
      </c>
      <c r="C106" s="301"/>
      <c r="D106" s="194">
        <v>2</v>
      </c>
      <c r="E106" s="302">
        <f>E102+F102</f>
        <v>6</v>
      </c>
      <c r="F106" s="306"/>
      <c r="G106" s="307">
        <v>0.2</v>
      </c>
      <c r="H106" s="112">
        <f t="shared" si="19"/>
        <v>1.2000000000000002</v>
      </c>
      <c r="I106" s="304">
        <f t="shared" si="20"/>
        <v>2.4000000000000004</v>
      </c>
      <c r="J106" s="323"/>
    </row>
    <row r="107" spans="1:10" hidden="1" outlineLevel="1">
      <c r="A107" s="313"/>
      <c r="B107" s="300" t="s">
        <v>344</v>
      </c>
      <c r="C107" s="301"/>
      <c r="D107" s="194">
        <v>2</v>
      </c>
      <c r="E107" s="302">
        <v>0.65</v>
      </c>
      <c r="F107" s="306"/>
      <c r="G107" s="306">
        <v>0.2</v>
      </c>
      <c r="H107" s="112">
        <f t="shared" si="19"/>
        <v>0.13</v>
      </c>
      <c r="I107" s="304">
        <f t="shared" si="20"/>
        <v>0.26</v>
      </c>
      <c r="J107" s="323"/>
    </row>
    <row r="108" spans="1:10">
      <c r="A108" s="316"/>
      <c r="B108" s="291" t="s">
        <v>371</v>
      </c>
      <c r="C108" s="317"/>
      <c r="D108" s="318"/>
      <c r="E108" s="319"/>
      <c r="F108" s="324"/>
      <c r="G108" s="294"/>
      <c r="H108" s="331"/>
      <c r="I108" s="297">
        <f>I101</f>
        <v>11.573599999999999</v>
      </c>
      <c r="J108" s="322"/>
    </row>
    <row r="109" spans="1:10" collapsed="1">
      <c r="A109" s="316"/>
      <c r="B109" s="291" t="s">
        <v>372</v>
      </c>
      <c r="C109" s="317"/>
      <c r="D109" s="327"/>
      <c r="E109" s="328"/>
      <c r="F109" s="333"/>
      <c r="G109" s="333"/>
      <c r="H109" s="332"/>
      <c r="I109" s="297">
        <f>SUBTOTAL(9,I110:I115)</f>
        <v>11.605650000000001</v>
      </c>
      <c r="J109" s="322"/>
    </row>
    <row r="110" spans="1:10" hidden="1" outlineLevel="1">
      <c r="A110" s="313"/>
      <c r="B110" s="300" t="s">
        <v>339</v>
      </c>
      <c r="C110" s="301"/>
      <c r="D110" s="194">
        <v>1</v>
      </c>
      <c r="E110" s="325">
        <v>3.88</v>
      </c>
      <c r="F110" s="306">
        <v>2.13</v>
      </c>
      <c r="G110" s="306"/>
      <c r="H110" s="112">
        <f>PRODUCT(E110:G110)</f>
        <v>8.2644000000000002</v>
      </c>
      <c r="I110" s="304">
        <f t="shared" ref="I110:I115" si="21">H110*D110</f>
        <v>8.2644000000000002</v>
      </c>
      <c r="J110" s="323"/>
    </row>
    <row r="111" spans="1:10" hidden="1" outlineLevel="1">
      <c r="A111" s="313"/>
      <c r="B111" s="300" t="s">
        <v>340</v>
      </c>
      <c r="C111" s="301"/>
      <c r="D111" s="194">
        <v>-1</v>
      </c>
      <c r="E111" s="302">
        <v>1.1499999999999999</v>
      </c>
      <c r="F111" s="306">
        <v>0.9</v>
      </c>
      <c r="G111" s="306"/>
      <c r="H111" s="112">
        <f t="shared" ref="H111:H122" si="22">PRODUCT(E111:G111)</f>
        <v>1.0349999999999999</v>
      </c>
      <c r="I111" s="304">
        <f t="shared" si="21"/>
        <v>-1.0349999999999999</v>
      </c>
      <c r="J111" s="323"/>
    </row>
    <row r="112" spans="1:10" hidden="1" outlineLevel="1">
      <c r="A112" s="313"/>
      <c r="B112" s="300" t="s">
        <v>341</v>
      </c>
      <c r="C112" s="301"/>
      <c r="D112" s="194">
        <v>1</v>
      </c>
      <c r="E112" s="302">
        <v>1.6850000000000001</v>
      </c>
      <c r="F112" s="306"/>
      <c r="G112" s="307">
        <v>0.35</v>
      </c>
      <c r="H112" s="112">
        <f t="shared" si="22"/>
        <v>0.58975</v>
      </c>
      <c r="I112" s="304">
        <f t="shared" si="21"/>
        <v>0.58975</v>
      </c>
      <c r="J112" s="323"/>
    </row>
    <row r="113" spans="1:10" hidden="1" outlineLevel="1">
      <c r="A113" s="313"/>
      <c r="B113" s="300" t="s">
        <v>342</v>
      </c>
      <c r="C113" s="301"/>
      <c r="D113" s="194">
        <v>1</v>
      </c>
      <c r="E113" s="308">
        <f>2*0.9+F110-E112</f>
        <v>2.2449999999999997</v>
      </c>
      <c r="F113" s="306"/>
      <c r="G113" s="307">
        <v>0.5</v>
      </c>
      <c r="H113" s="112">
        <f t="shared" si="22"/>
        <v>1.1224999999999998</v>
      </c>
      <c r="I113" s="304">
        <f t="shared" si="21"/>
        <v>1.1224999999999998</v>
      </c>
      <c r="J113" s="323"/>
    </row>
    <row r="114" spans="1:10" hidden="1" outlineLevel="1">
      <c r="A114" s="313"/>
      <c r="B114" s="300" t="s">
        <v>343</v>
      </c>
      <c r="C114" s="301"/>
      <c r="D114" s="194">
        <v>2</v>
      </c>
      <c r="E114" s="302">
        <f>E110+F110</f>
        <v>6.01</v>
      </c>
      <c r="F114" s="306"/>
      <c r="G114" s="307">
        <v>0.2</v>
      </c>
      <c r="H114" s="112">
        <f t="shared" si="22"/>
        <v>1.202</v>
      </c>
      <c r="I114" s="304">
        <f t="shared" si="21"/>
        <v>2.4039999999999999</v>
      </c>
      <c r="J114" s="323"/>
    </row>
    <row r="115" spans="1:10" hidden="1" outlineLevel="1">
      <c r="A115" s="313"/>
      <c r="B115" s="300" t="s">
        <v>344</v>
      </c>
      <c r="C115" s="301"/>
      <c r="D115" s="194">
        <v>2</v>
      </c>
      <c r="E115" s="302">
        <v>0.65</v>
      </c>
      <c r="F115" s="306"/>
      <c r="G115" s="306">
        <v>0.2</v>
      </c>
      <c r="H115" s="112">
        <f t="shared" si="22"/>
        <v>0.13</v>
      </c>
      <c r="I115" s="304">
        <f t="shared" si="21"/>
        <v>0.26</v>
      </c>
      <c r="J115" s="323"/>
    </row>
    <row r="116" spans="1:10">
      <c r="A116" s="316"/>
      <c r="B116" s="291" t="s">
        <v>373</v>
      </c>
      <c r="C116" s="317"/>
      <c r="D116" s="318"/>
      <c r="E116" s="319"/>
      <c r="F116" s="321"/>
      <c r="G116" s="294"/>
      <c r="H116" s="310"/>
      <c r="I116" s="297">
        <f>I109</f>
        <v>11.605650000000001</v>
      </c>
      <c r="J116" s="322"/>
    </row>
    <row r="117" spans="1:10" collapsed="1">
      <c r="A117" s="316"/>
      <c r="B117" s="291" t="s">
        <v>374</v>
      </c>
      <c r="C117" s="317"/>
      <c r="D117" s="327"/>
      <c r="E117" s="328"/>
      <c r="F117" s="333"/>
      <c r="G117" s="333"/>
      <c r="H117" s="310"/>
      <c r="I117" s="297">
        <f>SUM(I118:I122)</f>
        <v>14.629000000000005</v>
      </c>
      <c r="J117" s="322"/>
    </row>
    <row r="118" spans="1:10" hidden="1" outlineLevel="1">
      <c r="A118" s="313"/>
      <c r="B118" s="110" t="s">
        <v>339</v>
      </c>
      <c r="C118" s="301"/>
      <c r="D118" s="194">
        <v>1</v>
      </c>
      <c r="E118" s="302">
        <v>3.93</v>
      </c>
      <c r="F118" s="303">
        <v>3.1</v>
      </c>
      <c r="G118" s="336"/>
      <c r="H118" s="112">
        <f t="shared" si="22"/>
        <v>12.183000000000002</v>
      </c>
      <c r="I118" s="304">
        <f>H118*D118</f>
        <v>12.183000000000002</v>
      </c>
      <c r="J118" s="323"/>
    </row>
    <row r="119" spans="1:10" hidden="1" outlineLevel="1">
      <c r="A119" s="313"/>
      <c r="B119" s="300" t="s">
        <v>340</v>
      </c>
      <c r="C119" s="301"/>
      <c r="D119" s="194">
        <v>-1</v>
      </c>
      <c r="E119" s="302">
        <v>2.15</v>
      </c>
      <c r="F119" s="303">
        <v>0.6</v>
      </c>
      <c r="G119" s="336"/>
      <c r="H119" s="112">
        <f t="shared" si="22"/>
        <v>1.2899999999999998</v>
      </c>
      <c r="I119" s="304">
        <f>H119*D119</f>
        <v>-1.2899999999999998</v>
      </c>
      <c r="J119" s="323"/>
    </row>
    <row r="120" spans="1:10" hidden="1" outlineLevel="1">
      <c r="A120" s="313"/>
      <c r="B120" s="300" t="s">
        <v>342</v>
      </c>
      <c r="C120" s="301"/>
      <c r="D120" s="194">
        <v>1</v>
      </c>
      <c r="E120" s="302">
        <v>1</v>
      </c>
      <c r="F120" s="303">
        <v>0.92</v>
      </c>
      <c r="G120" s="336">
        <v>0.5</v>
      </c>
      <c r="H120" s="112">
        <f t="shared" si="22"/>
        <v>0.46</v>
      </c>
      <c r="I120" s="304">
        <f>H120*D120</f>
        <v>0.46</v>
      </c>
      <c r="J120" s="323"/>
    </row>
    <row r="121" spans="1:10" hidden="1" outlineLevel="1">
      <c r="A121" s="313"/>
      <c r="B121" s="300" t="s">
        <v>344</v>
      </c>
      <c r="C121" s="301"/>
      <c r="D121" s="194">
        <v>2</v>
      </c>
      <c r="E121" s="302">
        <v>1.1599999999999999</v>
      </c>
      <c r="F121" s="303"/>
      <c r="G121" s="336">
        <v>0.2</v>
      </c>
      <c r="H121" s="112">
        <f t="shared" si="22"/>
        <v>0.23199999999999998</v>
      </c>
      <c r="I121" s="304">
        <f>H121*D121</f>
        <v>0.46399999999999997</v>
      </c>
      <c r="J121" s="323"/>
    </row>
    <row r="122" spans="1:10" hidden="1" outlineLevel="1">
      <c r="A122" s="313"/>
      <c r="B122" s="300" t="s">
        <v>343</v>
      </c>
      <c r="C122" s="301"/>
      <c r="D122" s="194">
        <v>2</v>
      </c>
      <c r="E122" s="302">
        <f>E118+F118</f>
        <v>7.03</v>
      </c>
      <c r="F122" s="303"/>
      <c r="G122" s="336">
        <v>0.2</v>
      </c>
      <c r="H122" s="112">
        <f t="shared" si="22"/>
        <v>1.4060000000000001</v>
      </c>
      <c r="I122" s="304">
        <f>H122*D122</f>
        <v>2.8120000000000003</v>
      </c>
      <c r="J122" s="323"/>
    </row>
    <row r="123" spans="1:10">
      <c r="A123" s="316"/>
      <c r="B123" s="291" t="s">
        <v>375</v>
      </c>
      <c r="C123" s="317"/>
      <c r="D123" s="318"/>
      <c r="E123" s="319"/>
      <c r="F123" s="321"/>
      <c r="G123" s="334"/>
      <c r="H123" s="331"/>
      <c r="I123" s="297">
        <f>I117</f>
        <v>14.629000000000005</v>
      </c>
      <c r="J123" s="322"/>
    </row>
    <row r="124" spans="1:10" collapsed="1">
      <c r="A124" s="316"/>
      <c r="B124" s="291" t="s">
        <v>376</v>
      </c>
      <c r="C124" s="317"/>
      <c r="D124" s="327"/>
      <c r="E124" s="328"/>
      <c r="F124" s="333"/>
      <c r="G124" s="330"/>
      <c r="H124" s="332"/>
      <c r="I124" s="297">
        <f>SUBTOTAL(9,I125:I127)</f>
        <v>5.4491500000000004</v>
      </c>
      <c r="J124" s="322"/>
    </row>
    <row r="125" spans="1:10" hidden="1" outlineLevel="1">
      <c r="A125" s="313"/>
      <c r="B125" s="110" t="s">
        <v>339</v>
      </c>
      <c r="C125" s="301"/>
      <c r="D125" s="194">
        <v>1</v>
      </c>
      <c r="E125" s="302">
        <v>1.9350000000000001</v>
      </c>
      <c r="F125" s="303">
        <v>2.29</v>
      </c>
      <c r="G125" s="307"/>
      <c r="H125" s="335">
        <f>F125*E125</f>
        <v>4.4311500000000006</v>
      </c>
      <c r="I125" s="304">
        <f>H125*D125</f>
        <v>4.4311500000000006</v>
      </c>
      <c r="J125" s="323"/>
    </row>
    <row r="126" spans="1:10" hidden="1" outlineLevel="1">
      <c r="A126" s="313"/>
      <c r="B126" s="300" t="s">
        <v>340</v>
      </c>
      <c r="C126" s="301"/>
      <c r="D126" s="194">
        <v>-1</v>
      </c>
      <c r="E126" s="302">
        <v>0.8</v>
      </c>
      <c r="F126" s="303">
        <v>0.84</v>
      </c>
      <c r="G126" s="307"/>
      <c r="H126" s="335">
        <f>F126*E126</f>
        <v>0.67200000000000004</v>
      </c>
      <c r="I126" s="304">
        <f>H126*D126</f>
        <v>-0.67200000000000004</v>
      </c>
      <c r="J126" s="323"/>
    </row>
    <row r="127" spans="1:10" hidden="1" outlineLevel="1">
      <c r="A127" s="313"/>
      <c r="B127" s="300" t="s">
        <v>358</v>
      </c>
      <c r="C127" s="301"/>
      <c r="D127" s="194">
        <v>2</v>
      </c>
      <c r="E127" s="302">
        <f>E125+F125</f>
        <v>4.2249999999999996</v>
      </c>
      <c r="F127" s="303"/>
      <c r="G127" s="336">
        <v>0.2</v>
      </c>
      <c r="H127" s="335">
        <f>(E127+F127)*G127</f>
        <v>0.84499999999999997</v>
      </c>
      <c r="I127" s="304">
        <f>H127*D127</f>
        <v>1.69</v>
      </c>
      <c r="J127" s="323"/>
    </row>
    <row r="128" spans="1:10">
      <c r="A128" s="316"/>
      <c r="B128" s="291" t="s">
        <v>377</v>
      </c>
      <c r="C128" s="317"/>
      <c r="D128" s="318"/>
      <c r="E128" s="319"/>
      <c r="F128" s="321"/>
      <c r="G128" s="334"/>
      <c r="H128" s="331"/>
      <c r="I128" s="297">
        <f>I124</f>
        <v>5.4491500000000004</v>
      </c>
      <c r="J128" s="322"/>
    </row>
    <row r="129" spans="1:10" collapsed="1">
      <c r="A129" s="316"/>
      <c r="B129" s="291" t="s">
        <v>378</v>
      </c>
      <c r="C129" s="317"/>
      <c r="D129" s="327"/>
      <c r="E129" s="328"/>
      <c r="F129" s="333"/>
      <c r="G129" s="333"/>
      <c r="H129" s="332"/>
      <c r="I129" s="297">
        <f>SUBTOTAL(9,I130:I135)</f>
        <v>11.1654</v>
      </c>
      <c r="J129" s="322"/>
    </row>
    <row r="130" spans="1:10" hidden="1" outlineLevel="1">
      <c r="A130" s="313"/>
      <c r="B130" s="300" t="s">
        <v>339</v>
      </c>
      <c r="C130" s="301"/>
      <c r="D130" s="194">
        <v>1</v>
      </c>
      <c r="E130" s="325">
        <v>3.94</v>
      </c>
      <c r="F130" s="306">
        <v>1.91</v>
      </c>
      <c r="G130" s="306"/>
      <c r="H130" s="112">
        <f t="shared" ref="H130:H135" si="23">PRODUCT(E130:G130)</f>
        <v>7.5253999999999994</v>
      </c>
      <c r="I130" s="304">
        <f t="shared" ref="I130:I135" si="24">H130*D130</f>
        <v>7.5253999999999994</v>
      </c>
      <c r="J130" s="323"/>
    </row>
    <row r="131" spans="1:10" hidden="1" outlineLevel="1">
      <c r="A131" s="313"/>
      <c r="B131" s="300" t="s">
        <v>340</v>
      </c>
      <c r="C131" s="301"/>
      <c r="D131" s="194">
        <v>-1</v>
      </c>
      <c r="E131" s="302">
        <v>0.7</v>
      </c>
      <c r="F131" s="306">
        <v>0.9</v>
      </c>
      <c r="G131" s="306"/>
      <c r="H131" s="112">
        <f t="shared" si="23"/>
        <v>0.63</v>
      </c>
      <c r="I131" s="304">
        <f t="shared" si="24"/>
        <v>-0.63</v>
      </c>
      <c r="J131" s="323"/>
    </row>
    <row r="132" spans="1:10" hidden="1" outlineLevel="1">
      <c r="A132" s="313"/>
      <c r="B132" s="300" t="s">
        <v>341</v>
      </c>
      <c r="C132" s="301"/>
      <c r="D132" s="194">
        <v>1</v>
      </c>
      <c r="E132" s="302">
        <v>1.5</v>
      </c>
      <c r="F132" s="306"/>
      <c r="G132" s="307">
        <v>0.35</v>
      </c>
      <c r="H132" s="112">
        <f t="shared" si="23"/>
        <v>0.52499999999999991</v>
      </c>
      <c r="I132" s="304">
        <f t="shared" si="24"/>
        <v>0.52499999999999991</v>
      </c>
      <c r="J132" s="323"/>
    </row>
    <row r="133" spans="1:10" hidden="1" outlineLevel="1">
      <c r="A133" s="313"/>
      <c r="B133" s="300" t="s">
        <v>342</v>
      </c>
      <c r="C133" s="301"/>
      <c r="D133" s="194">
        <v>1</v>
      </c>
      <c r="E133" s="308">
        <f>2*0.9+F130-E132</f>
        <v>2.21</v>
      </c>
      <c r="F133" s="306"/>
      <c r="G133" s="307">
        <v>0.5</v>
      </c>
      <c r="H133" s="112">
        <f t="shared" si="23"/>
        <v>1.105</v>
      </c>
      <c r="I133" s="304">
        <f t="shared" si="24"/>
        <v>1.105</v>
      </c>
      <c r="J133" s="323"/>
    </row>
    <row r="134" spans="1:10" hidden="1" outlineLevel="1">
      <c r="A134" s="313"/>
      <c r="B134" s="300" t="s">
        <v>343</v>
      </c>
      <c r="C134" s="301"/>
      <c r="D134" s="194">
        <v>2</v>
      </c>
      <c r="E134" s="302">
        <f>E130+F130</f>
        <v>5.85</v>
      </c>
      <c r="F134" s="306"/>
      <c r="G134" s="307">
        <v>0.2</v>
      </c>
      <c r="H134" s="112">
        <f t="shared" si="23"/>
        <v>1.17</v>
      </c>
      <c r="I134" s="304">
        <f t="shared" si="24"/>
        <v>2.34</v>
      </c>
      <c r="J134" s="323"/>
    </row>
    <row r="135" spans="1:10" hidden="1" outlineLevel="1">
      <c r="A135" s="313"/>
      <c r="B135" s="300" t="s">
        <v>344</v>
      </c>
      <c r="C135" s="301"/>
      <c r="D135" s="194">
        <v>2</v>
      </c>
      <c r="E135" s="302">
        <v>0.75</v>
      </c>
      <c r="F135" s="306"/>
      <c r="G135" s="306">
        <v>0.2</v>
      </c>
      <c r="H135" s="112">
        <f t="shared" si="23"/>
        <v>0.15000000000000002</v>
      </c>
      <c r="I135" s="304">
        <f t="shared" si="24"/>
        <v>0.30000000000000004</v>
      </c>
      <c r="J135" s="323"/>
    </row>
    <row r="136" spans="1:10" ht="17.25" thickBot="1">
      <c r="A136" s="337"/>
      <c r="B136" s="338" t="s">
        <v>379</v>
      </c>
      <c r="C136" s="339"/>
      <c r="D136" s="340"/>
      <c r="E136" s="341"/>
      <c r="F136" s="342"/>
      <c r="G136" s="342"/>
      <c r="H136" s="343"/>
      <c r="I136" s="344">
        <f>I129</f>
        <v>11.1654</v>
      </c>
      <c r="J136" s="345"/>
    </row>
    <row r="137" spans="1:10">
      <c r="A137" s="64"/>
      <c r="B137" s="65"/>
      <c r="C137" s="65"/>
      <c r="D137" s="66"/>
      <c r="E137" s="67"/>
      <c r="F137" s="68"/>
      <c r="G137" s="68"/>
      <c r="H137" s="68"/>
      <c r="I137" s="271"/>
      <c r="J137" s="67"/>
    </row>
    <row r="138" spans="1:10">
      <c r="A138" s="64"/>
      <c r="B138" s="346" t="s">
        <v>380</v>
      </c>
      <c r="C138" s="148"/>
      <c r="D138" s="149"/>
      <c r="E138" s="150"/>
      <c r="F138" s="151"/>
      <c r="G138" s="151"/>
      <c r="H138" s="151"/>
      <c r="I138" s="347" t="s">
        <v>98</v>
      </c>
      <c r="J138" s="348"/>
    </row>
    <row r="139" spans="1:10">
      <c r="A139" s="64"/>
      <c r="B139" s="349"/>
      <c r="C139" s="349"/>
      <c r="D139" s="350"/>
      <c r="E139" s="351"/>
      <c r="F139" s="352"/>
      <c r="G139" s="352"/>
      <c r="H139" s="352"/>
      <c r="I139" s="353"/>
      <c r="J139" s="152"/>
    </row>
    <row r="140" spans="1:10">
      <c r="A140" s="64"/>
      <c r="B140" s="349"/>
      <c r="C140" s="349"/>
      <c r="D140" s="350"/>
      <c r="E140" s="354"/>
      <c r="F140" s="352"/>
      <c r="G140" s="352"/>
      <c r="H140" s="352"/>
      <c r="I140" s="353"/>
      <c r="J140" s="67"/>
    </row>
    <row r="141" spans="1:10">
      <c r="A141" s="64"/>
      <c r="B141" s="349"/>
      <c r="C141" s="349"/>
      <c r="D141" s="350"/>
      <c r="E141" s="354"/>
      <c r="F141" s="352"/>
      <c r="G141" s="352"/>
      <c r="H141" s="352"/>
      <c r="I141" s="353"/>
      <c r="J141" s="67"/>
    </row>
    <row r="142" spans="1:10">
      <c r="A142" s="64"/>
      <c r="B142" s="349"/>
      <c r="C142" s="349"/>
      <c r="D142" s="350"/>
      <c r="E142" s="354"/>
      <c r="F142" s="352"/>
      <c r="G142" s="352"/>
      <c r="H142" s="352"/>
      <c r="I142" s="353"/>
      <c r="J142" s="67"/>
    </row>
    <row r="143" spans="1:10">
      <c r="A143" s="64"/>
      <c r="B143" s="349"/>
      <c r="C143" s="349"/>
      <c r="D143" s="350"/>
      <c r="E143" s="354"/>
      <c r="F143" s="352"/>
      <c r="G143" s="352"/>
      <c r="H143" s="352"/>
      <c r="I143" s="353"/>
      <c r="J143" s="67"/>
    </row>
    <row r="144" spans="1:10">
      <c r="A144" s="64"/>
      <c r="B144" s="153" t="s">
        <v>381</v>
      </c>
      <c r="C144" s="349"/>
      <c r="D144" s="350"/>
      <c r="E144" s="354"/>
      <c r="F144" s="352"/>
      <c r="G144" s="352"/>
      <c r="H144" s="352"/>
      <c r="I144" s="353"/>
      <c r="J144" s="67"/>
    </row>
    <row r="145" spans="1:10">
      <c r="A145" s="64"/>
      <c r="C145" s="349"/>
      <c r="D145" s="350"/>
      <c r="E145" s="354"/>
      <c r="F145" s="352"/>
      <c r="G145" s="352"/>
      <c r="H145" s="352"/>
      <c r="I145" s="353"/>
      <c r="J145" s="67"/>
    </row>
    <row r="146" spans="1:10">
      <c r="A146" s="64"/>
      <c r="C146" s="65"/>
      <c r="D146" s="66"/>
      <c r="E146" s="67"/>
      <c r="F146" s="68"/>
      <c r="G146" s="68"/>
      <c r="H146" s="68"/>
      <c r="I146" s="271"/>
      <c r="J146" s="67"/>
    </row>
  </sheetData>
  <mergeCells count="8">
    <mergeCell ref="H4:H5"/>
    <mergeCell ref="J4:J5"/>
    <mergeCell ref="A2:B2"/>
    <mergeCell ref="A4:A5"/>
    <mergeCell ref="B4:B5"/>
    <mergeCell ref="C4:C5"/>
    <mergeCell ref="D4:D5"/>
    <mergeCell ref="E4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  <outlinePr summaryBelow="0" summaryRight="0"/>
  </sheetPr>
  <dimension ref="A1:AS37"/>
  <sheetViews>
    <sheetView tabSelected="1" topLeftCell="A4" workbookViewId="0">
      <pane xSplit="4" ySplit="2" topLeftCell="H21" activePane="bottomRight" state="frozen"/>
      <selection activeCell="A4" sqref="A4"/>
      <selection pane="topRight" activeCell="E4" sqref="E4"/>
      <selection pane="bottomLeft" activeCell="A6" sqref="A6"/>
      <selection pane="bottomRight" activeCell="M22" sqref="M22"/>
    </sheetView>
  </sheetViews>
  <sheetFormatPr defaultColWidth="28.140625" defaultRowHeight="16.5" outlineLevelRow="1" outlineLevelCol="1"/>
  <cols>
    <col min="1" max="1" width="3.5703125" style="3" bestFit="1" customWidth="1"/>
    <col min="2" max="2" width="40.7109375" style="37" bestFit="1" customWidth="1"/>
    <col min="3" max="3" width="4.85546875" style="39" bestFit="1" customWidth="1" collapsed="1"/>
    <col min="4" max="4" width="9" style="39" bestFit="1" customWidth="1"/>
    <col min="5" max="5" width="5.140625" style="39" customWidth="1" outlineLevel="1"/>
    <col min="6" max="7" width="6.42578125" style="39" customWidth="1" outlineLevel="1"/>
    <col min="8" max="9" width="5.140625" style="39" customWidth="1" outlineLevel="1"/>
    <col min="10" max="10" width="6.5703125" style="39" customWidth="1" outlineLevel="1"/>
    <col min="11" max="12" width="5.140625" style="39" customWidth="1" outlineLevel="1"/>
    <col min="13" max="14" width="5.85546875" style="39" customWidth="1" outlineLevel="1"/>
    <col min="15" max="18" width="6.28515625" style="39" customWidth="1" outlineLevel="1"/>
    <col min="19" max="19" width="6.85546875" style="39" customWidth="1" outlineLevel="1"/>
    <col min="20" max="20" width="6.5703125" style="39" customWidth="1" outlineLevel="1"/>
    <col min="21" max="21" width="6.42578125" style="39" customWidth="1" outlineLevel="1"/>
    <col min="22" max="22" width="9" style="39" customWidth="1" outlineLevel="1"/>
    <col min="23" max="23" width="5.42578125" style="39" customWidth="1" collapsed="1"/>
    <col min="24" max="24" width="4.42578125" style="39" hidden="1" customWidth="1" outlineLevel="1"/>
    <col min="25" max="26" width="7.7109375" style="39" hidden="1" customWidth="1" outlineLevel="1"/>
    <col min="27" max="27" width="4.85546875" style="39" hidden="1" customWidth="1" outlineLevel="1"/>
    <col min="28" max="28" width="6" style="39" hidden="1" customWidth="1" outlineLevel="1"/>
    <col min="29" max="29" width="7.7109375" style="39" hidden="1" customWidth="1" outlineLevel="1"/>
    <col min="30" max="30" width="6.85546875" style="39" hidden="1" customWidth="1" outlineLevel="1"/>
    <col min="31" max="31" width="6" style="39" hidden="1" customWidth="1" outlineLevel="1"/>
    <col min="32" max="32" width="7.7109375" style="39" hidden="1" customWidth="1" outlineLevel="1"/>
    <col min="33" max="33" width="6" style="39" hidden="1" customWidth="1" outlineLevel="1"/>
    <col min="34" max="34" width="6.85546875" style="39" hidden="1" customWidth="1" outlineLevel="1"/>
    <col min="35" max="35" width="6.28515625" style="39" hidden="1" customWidth="1" outlineLevel="1"/>
    <col min="36" max="36" width="5.85546875" style="39" hidden="1" customWidth="1" outlineLevel="1"/>
    <col min="37" max="37" width="6.85546875" style="39" hidden="1" customWidth="1" outlineLevel="1"/>
    <col min="38" max="38" width="6" style="39" hidden="1" customWidth="1" outlineLevel="1"/>
    <col min="39" max="39" width="6.5703125" style="39" hidden="1" customWidth="1" outlineLevel="1"/>
    <col min="40" max="40" width="6.42578125" style="39" hidden="1" customWidth="1" outlineLevel="1"/>
    <col min="41" max="41" width="9" style="39" hidden="1" customWidth="1" outlineLevel="1"/>
    <col min="42" max="42" width="5.42578125" style="39" customWidth="1"/>
    <col min="43" max="43" width="14" style="39" bestFit="1" customWidth="1"/>
    <col min="44" max="16384" width="28.140625" style="5"/>
  </cols>
  <sheetData>
    <row r="1" spans="1:45" s="44" customFormat="1" ht="26.25" customHeight="1">
      <c r="A1" s="526" t="s">
        <v>36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5" ht="18.7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5" ht="16.5" customHeight="1">
      <c r="A3" s="477" t="s">
        <v>0</v>
      </c>
      <c r="B3" s="479" t="s">
        <v>1</v>
      </c>
      <c r="C3" s="475" t="s">
        <v>3</v>
      </c>
      <c r="D3" s="469" t="s">
        <v>389</v>
      </c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69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69"/>
      <c r="AQ3" s="469" t="s">
        <v>34</v>
      </c>
    </row>
    <row r="4" spans="1:45" ht="38.25">
      <c r="A4" s="478"/>
      <c r="B4" s="480"/>
      <c r="C4" s="483"/>
      <c r="D4" s="469"/>
      <c r="E4" s="42" t="s">
        <v>398</v>
      </c>
      <c r="F4" s="42" t="s">
        <v>399</v>
      </c>
      <c r="G4" s="42" t="s">
        <v>400</v>
      </c>
      <c r="H4" s="42" t="s">
        <v>397</v>
      </c>
      <c r="I4" s="42" t="s">
        <v>396</v>
      </c>
      <c r="J4" s="42" t="s">
        <v>395</v>
      </c>
      <c r="K4" s="42" t="s">
        <v>393</v>
      </c>
      <c r="L4" s="42" t="s">
        <v>394</v>
      </c>
      <c r="M4" s="42" t="s">
        <v>392</v>
      </c>
      <c r="N4" s="42" t="s">
        <v>404</v>
      </c>
      <c r="O4" s="42" t="s">
        <v>405</v>
      </c>
      <c r="P4" s="42" t="s">
        <v>406</v>
      </c>
      <c r="Q4" s="42" t="s">
        <v>457</v>
      </c>
      <c r="R4" s="42" t="s">
        <v>458</v>
      </c>
      <c r="S4" s="42" t="s">
        <v>459</v>
      </c>
      <c r="T4" s="42" t="s">
        <v>412</v>
      </c>
      <c r="U4" s="42" t="s">
        <v>413</v>
      </c>
      <c r="V4" s="42" t="s">
        <v>414</v>
      </c>
      <c r="W4" s="469"/>
      <c r="X4" s="42" t="s">
        <v>398</v>
      </c>
      <c r="Y4" s="42" t="s">
        <v>399</v>
      </c>
      <c r="Z4" s="42" t="s">
        <v>400</v>
      </c>
      <c r="AA4" s="42" t="s">
        <v>397</v>
      </c>
      <c r="AB4" s="42" t="s">
        <v>396</v>
      </c>
      <c r="AC4" s="42" t="s">
        <v>395</v>
      </c>
      <c r="AD4" s="42" t="s">
        <v>393</v>
      </c>
      <c r="AE4" s="42" t="s">
        <v>394</v>
      </c>
      <c r="AF4" s="42" t="s">
        <v>460</v>
      </c>
      <c r="AG4" s="42" t="s">
        <v>404</v>
      </c>
      <c r="AH4" s="42" t="s">
        <v>405</v>
      </c>
      <c r="AI4" s="42" t="s">
        <v>406</v>
      </c>
      <c r="AJ4" s="42" t="s">
        <v>457</v>
      </c>
      <c r="AK4" s="42" t="s">
        <v>458</v>
      </c>
      <c r="AL4" s="42" t="s">
        <v>459</v>
      </c>
      <c r="AM4" s="42" t="s">
        <v>412</v>
      </c>
      <c r="AN4" s="42" t="s">
        <v>413</v>
      </c>
      <c r="AO4" s="42" t="s">
        <v>414</v>
      </c>
      <c r="AP4" s="469"/>
      <c r="AQ4" s="469"/>
    </row>
    <row r="5" spans="1:45" s="449" customFormat="1" ht="16.5" customHeight="1">
      <c r="A5" s="446"/>
      <c r="B5" s="447"/>
      <c r="C5" s="447"/>
      <c r="D5" s="448"/>
      <c r="E5" s="448" t="s">
        <v>401</v>
      </c>
      <c r="F5" s="448" t="s">
        <v>402</v>
      </c>
      <c r="G5" s="448" t="s">
        <v>402</v>
      </c>
      <c r="H5" s="448" t="s">
        <v>401</v>
      </c>
      <c r="I5" s="448" t="s">
        <v>401</v>
      </c>
      <c r="J5" s="448" t="s">
        <v>403</v>
      </c>
      <c r="K5" s="448" t="s">
        <v>403</v>
      </c>
      <c r="L5" s="448" t="s">
        <v>403</v>
      </c>
      <c r="M5" s="448" t="s">
        <v>402</v>
      </c>
      <c r="N5" s="448" t="s">
        <v>402</v>
      </c>
      <c r="O5" s="448" t="s">
        <v>402</v>
      </c>
      <c r="P5" s="448" t="s">
        <v>402</v>
      </c>
      <c r="Q5" s="448" t="s">
        <v>402</v>
      </c>
      <c r="R5" s="448" t="s">
        <v>402</v>
      </c>
      <c r="S5" s="448" t="s">
        <v>402</v>
      </c>
      <c r="T5" s="448" t="s">
        <v>403</v>
      </c>
      <c r="U5" s="448" t="s">
        <v>403</v>
      </c>
      <c r="V5" s="448" t="s">
        <v>403</v>
      </c>
      <c r="W5" s="448"/>
      <c r="X5" s="448" t="s">
        <v>401</v>
      </c>
      <c r="Y5" s="448" t="s">
        <v>402</v>
      </c>
      <c r="Z5" s="448" t="s">
        <v>402</v>
      </c>
      <c r="AA5" s="448" t="s">
        <v>401</v>
      </c>
      <c r="AB5" s="448" t="s">
        <v>401</v>
      </c>
      <c r="AC5" s="448" t="s">
        <v>403</v>
      </c>
      <c r="AD5" s="448" t="s">
        <v>403</v>
      </c>
      <c r="AE5" s="448" t="s">
        <v>403</v>
      </c>
      <c r="AF5" s="448" t="s">
        <v>402</v>
      </c>
      <c r="AG5" s="448" t="s">
        <v>402</v>
      </c>
      <c r="AH5" s="448" t="s">
        <v>402</v>
      </c>
      <c r="AI5" s="448" t="s">
        <v>402</v>
      </c>
      <c r="AJ5" s="448" t="s">
        <v>402</v>
      </c>
      <c r="AK5" s="448" t="s">
        <v>402</v>
      </c>
      <c r="AL5" s="448" t="s">
        <v>402</v>
      </c>
      <c r="AM5" s="448" t="s">
        <v>464</v>
      </c>
      <c r="AN5" s="448" t="s">
        <v>464</v>
      </c>
      <c r="AO5" s="448" t="s">
        <v>465</v>
      </c>
      <c r="AP5" s="448"/>
      <c r="AQ5" s="448"/>
    </row>
    <row r="6" spans="1:45" ht="16.5" customHeight="1">
      <c r="A6" s="355"/>
      <c r="B6" s="356" t="s">
        <v>435</v>
      </c>
      <c r="C6" s="45"/>
      <c r="D6" s="438"/>
      <c r="E6" s="358"/>
      <c r="F6" s="358"/>
      <c r="G6" s="358"/>
      <c r="H6" s="358"/>
      <c r="I6" s="358"/>
      <c r="J6" s="358"/>
      <c r="K6" s="358"/>
      <c r="L6" s="358"/>
      <c r="M6" s="358"/>
      <c r="N6" s="358"/>
      <c r="O6" s="358"/>
      <c r="P6" s="358"/>
      <c r="Q6" s="358"/>
      <c r="R6" s="358"/>
      <c r="S6" s="358"/>
      <c r="T6" s="358"/>
      <c r="U6" s="358"/>
      <c r="V6" s="358"/>
      <c r="W6" s="358"/>
      <c r="X6" s="357">
        <f>SUBTOTAL(9,X7:X34)</f>
        <v>5.0496500000000006</v>
      </c>
      <c r="Y6" s="357">
        <f t="shared" ref="Y6:AO6" si="0">SUBTOTAL(9,Y7:Y34)</f>
        <v>379303.05534247786</v>
      </c>
      <c r="Z6" s="357">
        <f t="shared" si="0"/>
        <v>117729.23019452435</v>
      </c>
      <c r="AA6" s="357">
        <f t="shared" si="0"/>
        <v>302.17868658616067</v>
      </c>
      <c r="AB6" s="357">
        <f t="shared" si="0"/>
        <v>3186.7766535200003</v>
      </c>
      <c r="AC6" s="357">
        <f t="shared" si="0"/>
        <v>872306.7185227623</v>
      </c>
      <c r="AD6" s="357">
        <f t="shared" si="0"/>
        <v>24337.881539999998</v>
      </c>
      <c r="AE6" s="357">
        <f t="shared" si="0"/>
        <v>3698.2442849999993</v>
      </c>
      <c r="AF6" s="357">
        <f t="shared" si="0"/>
        <v>112752.84013888887</v>
      </c>
      <c r="AG6" s="357">
        <f t="shared" si="0"/>
        <v>2356.7250000000004</v>
      </c>
      <c r="AH6" s="357">
        <f t="shared" si="0"/>
        <v>15621.781111111119</v>
      </c>
      <c r="AI6" s="357">
        <f t="shared" si="0"/>
        <v>484.54750000000007</v>
      </c>
      <c r="AJ6" s="357">
        <f t="shared" si="0"/>
        <v>225.28611111111113</v>
      </c>
      <c r="AK6" s="357">
        <f t="shared" si="0"/>
        <v>20184.733333333337</v>
      </c>
      <c r="AL6" s="357">
        <f t="shared" si="0"/>
        <v>3860.4444444444448</v>
      </c>
      <c r="AM6" s="357">
        <f t="shared" si="0"/>
        <v>0</v>
      </c>
      <c r="AN6" s="357">
        <f t="shared" si="0"/>
        <v>0</v>
      </c>
      <c r="AO6" s="357">
        <f t="shared" si="0"/>
        <v>0</v>
      </c>
      <c r="AP6" s="358"/>
      <c r="AQ6" s="357"/>
    </row>
    <row r="7" spans="1:45" s="14" customFormat="1">
      <c r="A7" s="33"/>
      <c r="B7" s="34" t="s">
        <v>7</v>
      </c>
      <c r="C7" s="36"/>
      <c r="D7" s="33"/>
      <c r="E7" s="437"/>
      <c r="F7" s="443"/>
      <c r="G7" s="443"/>
      <c r="H7" s="437"/>
      <c r="I7" s="437"/>
      <c r="J7" s="441"/>
      <c r="K7" s="437"/>
      <c r="L7" s="437"/>
      <c r="M7" s="441"/>
      <c r="N7" s="441"/>
      <c r="O7" s="441"/>
      <c r="P7" s="441"/>
      <c r="Q7" s="441"/>
      <c r="R7" s="441"/>
      <c r="S7" s="441"/>
      <c r="T7" s="437"/>
      <c r="U7" s="437"/>
      <c r="V7" s="437"/>
      <c r="W7" s="437"/>
      <c r="X7" s="445">
        <f>SUBTOTAL(9,X8:X13)</f>
        <v>5.0496500000000006</v>
      </c>
      <c r="Y7" s="445">
        <f t="shared" ref="Y7:AO7" si="1">SUBTOTAL(9,Y8:Y13)</f>
        <v>379303.05534247786</v>
      </c>
      <c r="Z7" s="445">
        <f t="shared" si="1"/>
        <v>117729.23019452435</v>
      </c>
      <c r="AA7" s="445">
        <f t="shared" si="1"/>
        <v>196.11818658616065</v>
      </c>
      <c r="AB7" s="445">
        <f t="shared" si="1"/>
        <v>4.5579999999999998</v>
      </c>
      <c r="AC7" s="445">
        <f t="shared" si="1"/>
        <v>32684.208754082487</v>
      </c>
      <c r="AD7" s="445">
        <f t="shared" si="1"/>
        <v>0</v>
      </c>
      <c r="AE7" s="445">
        <f t="shared" si="1"/>
        <v>0</v>
      </c>
      <c r="AF7" s="445">
        <f t="shared" si="1"/>
        <v>0</v>
      </c>
      <c r="AG7" s="445">
        <f t="shared" si="1"/>
        <v>0</v>
      </c>
      <c r="AH7" s="445">
        <f t="shared" si="1"/>
        <v>0</v>
      </c>
      <c r="AI7" s="445">
        <f t="shared" si="1"/>
        <v>0</v>
      </c>
      <c r="AJ7" s="445">
        <f t="shared" si="1"/>
        <v>0</v>
      </c>
      <c r="AK7" s="445">
        <f t="shared" si="1"/>
        <v>0</v>
      </c>
      <c r="AL7" s="445">
        <f t="shared" si="1"/>
        <v>0</v>
      </c>
      <c r="AM7" s="445">
        <f t="shared" si="1"/>
        <v>0</v>
      </c>
      <c r="AN7" s="445">
        <f t="shared" si="1"/>
        <v>0</v>
      </c>
      <c r="AO7" s="445">
        <f t="shared" si="1"/>
        <v>0</v>
      </c>
      <c r="AP7" s="437"/>
      <c r="AQ7" s="36" t="s">
        <v>319</v>
      </c>
    </row>
    <row r="8" spans="1:45" outlineLevel="1">
      <c r="A8" s="15">
        <v>1</v>
      </c>
      <c r="B8" s="51" t="s">
        <v>324</v>
      </c>
      <c r="C8" s="18" t="s">
        <v>8</v>
      </c>
      <c r="D8" s="439">
        <v>175.93058000000008</v>
      </c>
      <c r="E8" s="436"/>
      <c r="F8" s="442">
        <f>F9*2</f>
        <v>108.8</v>
      </c>
      <c r="G8" s="442">
        <f>G9*2</f>
        <v>34</v>
      </c>
      <c r="H8" s="436">
        <f>H9*2.2</f>
        <v>6.0500000000000012E-2</v>
      </c>
      <c r="I8" s="436"/>
      <c r="J8" s="440">
        <f>J9*2.2</f>
        <v>9.240000000000002</v>
      </c>
      <c r="K8" s="436"/>
      <c r="L8" s="436"/>
      <c r="M8" s="440"/>
      <c r="N8" s="440"/>
      <c r="O8" s="440"/>
      <c r="P8" s="440"/>
      <c r="Q8" s="440"/>
      <c r="R8" s="440"/>
      <c r="S8" s="440"/>
      <c r="T8" s="436"/>
      <c r="U8" s="436"/>
      <c r="V8" s="436"/>
      <c r="W8" s="436"/>
      <c r="X8" s="444">
        <f>$D8*E8</f>
        <v>0</v>
      </c>
      <c r="Y8" s="444">
        <f t="shared" ref="Y8:Y13" si="2">$D8*F8</f>
        <v>19141.247104000009</v>
      </c>
      <c r="Z8" s="444">
        <f t="shared" ref="Z8:Z13" si="3">$D8*G8</f>
        <v>5981.6397200000029</v>
      </c>
      <c r="AA8" s="444">
        <f t="shared" ref="AA8:AA13" si="4">$D8*H8</f>
        <v>10.643800090000006</v>
      </c>
      <c r="AB8" s="444">
        <f t="shared" ref="AB8:AB13" si="5">$D8*I8</f>
        <v>0</v>
      </c>
      <c r="AC8" s="444">
        <f t="shared" ref="AC8:AC13" si="6">$D8*J8</f>
        <v>1625.5985592000011</v>
      </c>
      <c r="AD8" s="444">
        <f t="shared" ref="AD8:AD13" si="7">$D8*K8</f>
        <v>0</v>
      </c>
      <c r="AE8" s="444">
        <f t="shared" ref="AE8:AE13" si="8">$D8*L8</f>
        <v>0</v>
      </c>
      <c r="AF8" s="444">
        <f t="shared" ref="AF8:AF13" si="9">$D8*M8</f>
        <v>0</v>
      </c>
      <c r="AG8" s="444">
        <f t="shared" ref="AG8:AG13" si="10">$D8*N8</f>
        <v>0</v>
      </c>
      <c r="AH8" s="444">
        <f t="shared" ref="AH8:AH13" si="11">$D8*O8</f>
        <v>0</v>
      </c>
      <c r="AI8" s="444">
        <f t="shared" ref="AI8:AI13" si="12">$D8*P8</f>
        <v>0</v>
      </c>
      <c r="AJ8" s="444">
        <f t="shared" ref="AJ8:AJ13" si="13">$D8*Q8</f>
        <v>0</v>
      </c>
      <c r="AK8" s="444">
        <f t="shared" ref="AK8:AK13" si="14">$D8*R8</f>
        <v>0</v>
      </c>
      <c r="AL8" s="444">
        <f t="shared" ref="AL8:AL13" si="15">$D8*S8</f>
        <v>0</v>
      </c>
      <c r="AM8" s="444">
        <f t="shared" ref="AM8:AM13" si="16">$D8*T8</f>
        <v>0</v>
      </c>
      <c r="AN8" s="444">
        <f t="shared" ref="AN8:AN13" si="17">$D8*U8</f>
        <v>0</v>
      </c>
      <c r="AO8" s="444">
        <f t="shared" ref="AO8:AO13" si="18">$D8*V8</f>
        <v>0</v>
      </c>
      <c r="AP8" s="436"/>
      <c r="AQ8" s="47"/>
    </row>
    <row r="9" spans="1:45" outlineLevel="1">
      <c r="A9" s="15">
        <v>3</v>
      </c>
      <c r="B9" s="51" t="s">
        <v>325</v>
      </c>
      <c r="C9" s="18" t="s">
        <v>8</v>
      </c>
      <c r="D9" s="439">
        <f>(3266.392092+1041)*1.1</f>
        <v>4738.1313012000001</v>
      </c>
      <c r="E9" s="436"/>
      <c r="F9" s="442">
        <v>54.4</v>
      </c>
      <c r="G9" s="442">
        <f>17</f>
        <v>17</v>
      </c>
      <c r="H9" s="436">
        <f>0.025*1.1</f>
        <v>2.7500000000000004E-2</v>
      </c>
      <c r="I9" s="436"/>
      <c r="J9" s="440">
        <v>4.2</v>
      </c>
      <c r="K9" s="436"/>
      <c r="L9" s="436"/>
      <c r="M9" s="440"/>
      <c r="N9" s="440"/>
      <c r="O9" s="440"/>
      <c r="P9" s="440"/>
      <c r="Q9" s="440"/>
      <c r="R9" s="440"/>
      <c r="S9" s="440"/>
      <c r="T9" s="436"/>
      <c r="U9" s="436"/>
      <c r="V9" s="436"/>
      <c r="W9" s="436"/>
      <c r="X9" s="444">
        <f t="shared" ref="X9:X13" si="19">$D9*E9</f>
        <v>0</v>
      </c>
      <c r="Y9" s="444">
        <f t="shared" si="2"/>
        <v>257754.34278527999</v>
      </c>
      <c r="Z9" s="444">
        <f t="shared" si="3"/>
        <v>80548.232120400004</v>
      </c>
      <c r="AA9" s="444">
        <f t="shared" si="4"/>
        <v>130.29861078300002</v>
      </c>
      <c r="AB9" s="444">
        <f t="shared" si="5"/>
        <v>0</v>
      </c>
      <c r="AC9" s="444">
        <f t="shared" si="6"/>
        <v>19900.151465040002</v>
      </c>
      <c r="AD9" s="444">
        <f t="shared" si="7"/>
        <v>0</v>
      </c>
      <c r="AE9" s="444">
        <f t="shared" si="8"/>
        <v>0</v>
      </c>
      <c r="AF9" s="444">
        <f t="shared" si="9"/>
        <v>0</v>
      </c>
      <c r="AG9" s="444">
        <f t="shared" si="10"/>
        <v>0</v>
      </c>
      <c r="AH9" s="444">
        <f t="shared" si="11"/>
        <v>0</v>
      </c>
      <c r="AI9" s="444">
        <f t="shared" si="12"/>
        <v>0</v>
      </c>
      <c r="AJ9" s="444">
        <f t="shared" si="13"/>
        <v>0</v>
      </c>
      <c r="AK9" s="444">
        <f t="shared" si="14"/>
        <v>0</v>
      </c>
      <c r="AL9" s="444">
        <f t="shared" si="15"/>
        <v>0</v>
      </c>
      <c r="AM9" s="444">
        <f t="shared" si="16"/>
        <v>0</v>
      </c>
      <c r="AN9" s="444">
        <f t="shared" si="17"/>
        <v>0</v>
      </c>
      <c r="AO9" s="444">
        <f t="shared" si="18"/>
        <v>0</v>
      </c>
      <c r="AP9" s="436"/>
      <c r="AQ9" s="47"/>
    </row>
    <row r="10" spans="1:45" outlineLevel="1">
      <c r="A10" s="15">
        <v>4</v>
      </c>
      <c r="B10" s="24" t="s">
        <v>456</v>
      </c>
      <c r="C10" s="18" t="s">
        <v>8</v>
      </c>
      <c r="D10" s="439">
        <f>136.291837377202*10</f>
        <v>1362.91837377202</v>
      </c>
      <c r="E10" s="436"/>
      <c r="F10" s="442">
        <v>54.4</v>
      </c>
      <c r="G10" s="442">
        <f>17</f>
        <v>17</v>
      </c>
      <c r="H10" s="436">
        <f>0.03</f>
        <v>0.03</v>
      </c>
      <c r="I10" s="436"/>
      <c r="J10" s="440">
        <v>4.2</v>
      </c>
      <c r="K10" s="436"/>
      <c r="L10" s="436"/>
      <c r="M10" s="440"/>
      <c r="N10" s="440"/>
      <c r="O10" s="440"/>
      <c r="P10" s="440"/>
      <c r="Q10" s="440"/>
      <c r="R10" s="440"/>
      <c r="S10" s="440"/>
      <c r="T10" s="436"/>
      <c r="U10" s="436"/>
      <c r="V10" s="436"/>
      <c r="W10" s="436"/>
      <c r="X10" s="444">
        <f t="shared" si="19"/>
        <v>0</v>
      </c>
      <c r="Y10" s="444">
        <f t="shared" si="2"/>
        <v>74142.759533197881</v>
      </c>
      <c r="Z10" s="444">
        <f t="shared" si="3"/>
        <v>23169.61235412434</v>
      </c>
      <c r="AA10" s="444">
        <f t="shared" si="4"/>
        <v>40.887551213160599</v>
      </c>
      <c r="AB10" s="444">
        <f t="shared" si="5"/>
        <v>0</v>
      </c>
      <c r="AC10" s="444">
        <f t="shared" si="6"/>
        <v>5724.2571698424845</v>
      </c>
      <c r="AD10" s="444">
        <f t="shared" si="7"/>
        <v>0</v>
      </c>
      <c r="AE10" s="444">
        <f t="shared" si="8"/>
        <v>0</v>
      </c>
      <c r="AF10" s="444">
        <f t="shared" si="9"/>
        <v>0</v>
      </c>
      <c r="AG10" s="444">
        <f t="shared" si="10"/>
        <v>0</v>
      </c>
      <c r="AH10" s="444">
        <f t="shared" si="11"/>
        <v>0</v>
      </c>
      <c r="AI10" s="444">
        <f t="shared" si="12"/>
        <v>0</v>
      </c>
      <c r="AJ10" s="444">
        <f t="shared" si="13"/>
        <v>0</v>
      </c>
      <c r="AK10" s="444">
        <f t="shared" si="14"/>
        <v>0</v>
      </c>
      <c r="AL10" s="444">
        <f t="shared" si="15"/>
        <v>0</v>
      </c>
      <c r="AM10" s="444">
        <f t="shared" si="16"/>
        <v>0</v>
      </c>
      <c r="AN10" s="444">
        <f t="shared" si="17"/>
        <v>0</v>
      </c>
      <c r="AO10" s="444">
        <f t="shared" si="18"/>
        <v>0</v>
      </c>
      <c r="AP10" s="436"/>
      <c r="AQ10" s="47"/>
    </row>
    <row r="11" spans="1:45" outlineLevel="1">
      <c r="A11" s="15">
        <v>5</v>
      </c>
      <c r="B11" s="51" t="s">
        <v>326</v>
      </c>
      <c r="C11" s="18" t="s">
        <v>8</v>
      </c>
      <c r="D11" s="439">
        <f>73.4+162.769</f>
        <v>236.16900000000001</v>
      </c>
      <c r="E11" s="436"/>
      <c r="F11" s="442">
        <f>F9*2.2</f>
        <v>119.68</v>
      </c>
      <c r="G11" s="442">
        <f>G9*2</f>
        <v>34</v>
      </c>
      <c r="H11" s="436">
        <f t="shared" ref="H11:J11" si="20">H9*2.2</f>
        <v>6.0500000000000012E-2</v>
      </c>
      <c r="I11" s="442"/>
      <c r="J11" s="440">
        <f t="shared" si="20"/>
        <v>9.240000000000002</v>
      </c>
      <c r="K11" s="436"/>
      <c r="L11" s="436"/>
      <c r="M11" s="440"/>
      <c r="N11" s="440"/>
      <c r="O11" s="440"/>
      <c r="P11" s="440"/>
      <c r="Q11" s="440"/>
      <c r="R11" s="440"/>
      <c r="S11" s="440"/>
      <c r="T11" s="436"/>
      <c r="U11" s="436"/>
      <c r="V11" s="436"/>
      <c r="W11" s="436"/>
      <c r="X11" s="444">
        <f t="shared" si="19"/>
        <v>0</v>
      </c>
      <c r="Y11" s="444">
        <f t="shared" si="2"/>
        <v>28264.705920000004</v>
      </c>
      <c r="Z11" s="444">
        <f t="shared" si="3"/>
        <v>8029.7460000000001</v>
      </c>
      <c r="AA11" s="444">
        <f t="shared" si="4"/>
        <v>14.288224500000004</v>
      </c>
      <c r="AB11" s="444">
        <f t="shared" si="5"/>
        <v>0</v>
      </c>
      <c r="AC11" s="444">
        <f t="shared" si="6"/>
        <v>2182.2015600000004</v>
      </c>
      <c r="AD11" s="444">
        <f t="shared" si="7"/>
        <v>0</v>
      </c>
      <c r="AE11" s="444">
        <f t="shared" si="8"/>
        <v>0</v>
      </c>
      <c r="AF11" s="444">
        <f t="shared" si="9"/>
        <v>0</v>
      </c>
      <c r="AG11" s="444">
        <f t="shared" si="10"/>
        <v>0</v>
      </c>
      <c r="AH11" s="444">
        <f t="shared" si="11"/>
        <v>0</v>
      </c>
      <c r="AI11" s="444">
        <f t="shared" si="12"/>
        <v>0</v>
      </c>
      <c r="AJ11" s="444">
        <f t="shared" si="13"/>
        <v>0</v>
      </c>
      <c r="AK11" s="444">
        <f t="shared" si="14"/>
        <v>0</v>
      </c>
      <c r="AL11" s="444">
        <f t="shared" si="15"/>
        <v>0</v>
      </c>
      <c r="AM11" s="444">
        <f t="shared" si="16"/>
        <v>0</v>
      </c>
      <c r="AN11" s="444">
        <f t="shared" si="17"/>
        <v>0</v>
      </c>
      <c r="AO11" s="444">
        <f t="shared" si="18"/>
        <v>0</v>
      </c>
      <c r="AP11" s="436"/>
      <c r="AQ11" s="47"/>
      <c r="AS11" s="256"/>
    </row>
    <row r="12" spans="1:45" outlineLevel="1">
      <c r="A12" s="15">
        <v>6</v>
      </c>
      <c r="B12" s="269" t="s">
        <v>321</v>
      </c>
      <c r="C12" s="46" t="s">
        <v>16</v>
      </c>
      <c r="D12" s="439">
        <f>'TH KL TRÁM VÁ'!$I$107*0.1*0.1*0.2</f>
        <v>4.9300000000000006</v>
      </c>
      <c r="E12" s="436">
        <v>0.505</v>
      </c>
      <c r="F12" s="442"/>
      <c r="G12" s="442"/>
      <c r="H12" s="436"/>
      <c r="I12" s="436">
        <v>0.6</v>
      </c>
      <c r="J12" s="440">
        <v>400</v>
      </c>
      <c r="K12" s="436"/>
      <c r="L12" s="436"/>
      <c r="M12" s="440"/>
      <c r="N12" s="440"/>
      <c r="O12" s="440"/>
      <c r="P12" s="440"/>
      <c r="Q12" s="440"/>
      <c r="R12" s="440"/>
      <c r="S12" s="440"/>
      <c r="T12" s="436"/>
      <c r="U12" s="436"/>
      <c r="V12" s="436"/>
      <c r="W12" s="436"/>
      <c r="X12" s="444">
        <f t="shared" si="19"/>
        <v>2.4896500000000001</v>
      </c>
      <c r="Y12" s="444">
        <f t="shared" si="2"/>
        <v>0</v>
      </c>
      <c r="Z12" s="444">
        <f t="shared" si="3"/>
        <v>0</v>
      </c>
      <c r="AA12" s="444">
        <f t="shared" si="4"/>
        <v>0</v>
      </c>
      <c r="AB12" s="444">
        <f t="shared" si="5"/>
        <v>2.9580000000000002</v>
      </c>
      <c r="AC12" s="444">
        <f t="shared" si="6"/>
        <v>1972.0000000000002</v>
      </c>
      <c r="AD12" s="444">
        <f t="shared" si="7"/>
        <v>0</v>
      </c>
      <c r="AE12" s="444">
        <f t="shared" si="8"/>
        <v>0</v>
      </c>
      <c r="AF12" s="444">
        <f t="shared" si="9"/>
        <v>0</v>
      </c>
      <c r="AG12" s="444">
        <f t="shared" si="10"/>
        <v>0</v>
      </c>
      <c r="AH12" s="444">
        <f t="shared" si="11"/>
        <v>0</v>
      </c>
      <c r="AI12" s="444">
        <f t="shared" si="12"/>
        <v>0</v>
      </c>
      <c r="AJ12" s="444">
        <f t="shared" si="13"/>
        <v>0</v>
      </c>
      <c r="AK12" s="444">
        <f t="shared" si="14"/>
        <v>0</v>
      </c>
      <c r="AL12" s="444">
        <f t="shared" si="15"/>
        <v>0</v>
      </c>
      <c r="AM12" s="444">
        <f t="shared" si="16"/>
        <v>0</v>
      </c>
      <c r="AN12" s="444">
        <f t="shared" si="17"/>
        <v>0</v>
      </c>
      <c r="AO12" s="444">
        <f t="shared" si="18"/>
        <v>0</v>
      </c>
      <c r="AP12" s="436"/>
      <c r="AQ12" s="47"/>
    </row>
    <row r="13" spans="1:45" outlineLevel="1">
      <c r="A13" s="15">
        <v>7</v>
      </c>
      <c r="B13" s="269" t="s">
        <v>322</v>
      </c>
      <c r="C13" s="46" t="s">
        <v>16</v>
      </c>
      <c r="D13" s="439">
        <f>10*20*1.6*0.1*0.1</f>
        <v>3.2</v>
      </c>
      <c r="E13" s="436">
        <v>0.8</v>
      </c>
      <c r="F13" s="442"/>
      <c r="G13" s="442"/>
      <c r="H13" s="436"/>
      <c r="I13" s="436">
        <v>0.5</v>
      </c>
      <c r="J13" s="440">
        <v>400</v>
      </c>
      <c r="K13" s="436"/>
      <c r="L13" s="436"/>
      <c r="M13" s="440"/>
      <c r="N13" s="440"/>
      <c r="O13" s="440"/>
      <c r="P13" s="440"/>
      <c r="Q13" s="440"/>
      <c r="R13" s="440"/>
      <c r="S13" s="440"/>
      <c r="T13" s="436"/>
      <c r="U13" s="436"/>
      <c r="V13" s="436"/>
      <c r="W13" s="436"/>
      <c r="X13" s="444">
        <f t="shared" si="19"/>
        <v>2.5600000000000005</v>
      </c>
      <c r="Y13" s="444">
        <f t="shared" si="2"/>
        <v>0</v>
      </c>
      <c r="Z13" s="444">
        <f t="shared" si="3"/>
        <v>0</v>
      </c>
      <c r="AA13" s="444">
        <f t="shared" si="4"/>
        <v>0</v>
      </c>
      <c r="AB13" s="444">
        <f t="shared" si="5"/>
        <v>1.6</v>
      </c>
      <c r="AC13" s="444">
        <f t="shared" si="6"/>
        <v>1280</v>
      </c>
      <c r="AD13" s="444">
        <f t="shared" si="7"/>
        <v>0</v>
      </c>
      <c r="AE13" s="444">
        <f t="shared" si="8"/>
        <v>0</v>
      </c>
      <c r="AF13" s="444">
        <f t="shared" si="9"/>
        <v>0</v>
      </c>
      <c r="AG13" s="444">
        <f t="shared" si="10"/>
        <v>0</v>
      </c>
      <c r="AH13" s="444">
        <f t="shared" si="11"/>
        <v>0</v>
      </c>
      <c r="AI13" s="444">
        <f t="shared" si="12"/>
        <v>0</v>
      </c>
      <c r="AJ13" s="444">
        <f t="shared" si="13"/>
        <v>0</v>
      </c>
      <c r="AK13" s="444">
        <f t="shared" si="14"/>
        <v>0</v>
      </c>
      <c r="AL13" s="444">
        <f t="shared" si="15"/>
        <v>0</v>
      </c>
      <c r="AM13" s="444">
        <f t="shared" si="16"/>
        <v>0</v>
      </c>
      <c r="AN13" s="444">
        <f t="shared" si="17"/>
        <v>0</v>
      </c>
      <c r="AO13" s="444">
        <f t="shared" si="18"/>
        <v>0</v>
      </c>
      <c r="AP13" s="436"/>
      <c r="AQ13" s="47"/>
    </row>
    <row r="14" spans="1:45" s="14" customFormat="1">
      <c r="A14" s="33"/>
      <c r="B14" s="34" t="s">
        <v>38</v>
      </c>
      <c r="C14" s="36"/>
      <c r="D14" s="33"/>
      <c r="E14" s="437"/>
      <c r="F14" s="443"/>
      <c r="G14" s="443"/>
      <c r="H14" s="437"/>
      <c r="I14" s="437"/>
      <c r="J14" s="441"/>
      <c r="K14" s="437"/>
      <c r="L14" s="437"/>
      <c r="M14" s="441"/>
      <c r="N14" s="441"/>
      <c r="O14" s="441"/>
      <c r="P14" s="441"/>
      <c r="Q14" s="441"/>
      <c r="R14" s="441"/>
      <c r="S14" s="441"/>
      <c r="T14" s="437"/>
      <c r="U14" s="437"/>
      <c r="V14" s="437"/>
      <c r="W14" s="437"/>
      <c r="X14" s="445">
        <f>SUBTOTAL(9,X15:X20)</f>
        <v>0</v>
      </c>
      <c r="Y14" s="445">
        <f t="shared" ref="Y14" si="21">SUBTOTAL(9,Y15:Y20)</f>
        <v>0</v>
      </c>
      <c r="Z14" s="445">
        <f t="shared" ref="Z14" si="22">SUBTOTAL(9,Z15:Z20)</f>
        <v>0</v>
      </c>
      <c r="AA14" s="445">
        <f>SUBTOTAL(9,AA15:AA20)</f>
        <v>0</v>
      </c>
      <c r="AB14" s="445">
        <f>SUBTOTAL(9,AB15:AB20)</f>
        <v>3171.8986535200002</v>
      </c>
      <c r="AC14" s="445">
        <f>SUBTOTAL(9,AC15:AC20)</f>
        <v>732620.19546868</v>
      </c>
      <c r="AD14" s="445">
        <f t="shared" ref="AD14" si="23">SUBTOTAL(9,AD15:AD20)</f>
        <v>0</v>
      </c>
      <c r="AE14" s="445">
        <f t="shared" ref="AE14" si="24">SUBTOTAL(9,AE15:AE20)</f>
        <v>0</v>
      </c>
      <c r="AF14" s="445">
        <f t="shared" ref="AF14" si="25">SUBTOTAL(9,AF15:AF20)</f>
        <v>0</v>
      </c>
      <c r="AG14" s="445">
        <f t="shared" ref="AG14" si="26">SUBTOTAL(9,AG15:AG20)</f>
        <v>0</v>
      </c>
      <c r="AH14" s="445">
        <f t="shared" ref="AH14" si="27">SUBTOTAL(9,AH15:AH20)</f>
        <v>0</v>
      </c>
      <c r="AI14" s="445">
        <f t="shared" ref="AI14" si="28">SUBTOTAL(9,AI15:AI20)</f>
        <v>0</v>
      </c>
      <c r="AJ14" s="445">
        <f t="shared" ref="AJ14" si="29">SUBTOTAL(9,AJ15:AJ20)</f>
        <v>0</v>
      </c>
      <c r="AK14" s="445">
        <f t="shared" ref="AK14" si="30">SUBTOTAL(9,AK15:AK20)</f>
        <v>0</v>
      </c>
      <c r="AL14" s="445">
        <f t="shared" ref="AL14" si="31">SUBTOTAL(9,AL15:AL20)</f>
        <v>0</v>
      </c>
      <c r="AM14" s="445">
        <f t="shared" ref="AM14" si="32">SUBTOTAL(9,AM15:AM20)</f>
        <v>0</v>
      </c>
      <c r="AN14" s="445">
        <f t="shared" ref="AN14" si="33">SUBTOTAL(9,AN15:AN20)</f>
        <v>0</v>
      </c>
      <c r="AO14" s="445">
        <f t="shared" ref="AO14" si="34">SUBTOTAL(9,AO15:AO20)</f>
        <v>0</v>
      </c>
      <c r="AP14" s="437"/>
      <c r="AQ14" s="36" t="s">
        <v>319</v>
      </c>
    </row>
    <row r="15" spans="1:45" outlineLevel="1">
      <c r="A15" s="15">
        <v>1</v>
      </c>
      <c r="B15" s="51" t="s">
        <v>317</v>
      </c>
      <c r="C15" s="18" t="s">
        <v>8</v>
      </c>
      <c r="D15" s="439">
        <v>83901.383315999992</v>
      </c>
      <c r="E15" s="436"/>
      <c r="F15" s="442"/>
      <c r="G15" s="442"/>
      <c r="H15" s="436"/>
      <c r="I15" s="436">
        <v>0.02</v>
      </c>
      <c r="J15" s="440">
        <v>4.7300000000000004</v>
      </c>
      <c r="K15" s="436"/>
      <c r="L15" s="436"/>
      <c r="M15" s="440"/>
      <c r="N15" s="440"/>
      <c r="O15" s="440"/>
      <c r="P15" s="440"/>
      <c r="Q15" s="440"/>
      <c r="R15" s="440"/>
      <c r="S15" s="440"/>
      <c r="T15" s="436"/>
      <c r="U15" s="436"/>
      <c r="V15" s="436"/>
      <c r="W15" s="436"/>
      <c r="X15" s="444">
        <f t="shared" ref="X15:X20" si="35">$D15*E15</f>
        <v>0</v>
      </c>
      <c r="Y15" s="444">
        <f t="shared" ref="Y15:Y20" si="36">$D15*F15</f>
        <v>0</v>
      </c>
      <c r="Z15" s="444">
        <f t="shared" ref="Z15:Z20" si="37">$D15*G15</f>
        <v>0</v>
      </c>
      <c r="AA15" s="444">
        <f t="shared" ref="AA15:AC20" si="38">$D15*H15</f>
        <v>0</v>
      </c>
      <c r="AB15" s="444">
        <f t="shared" si="38"/>
        <v>1678.02766632</v>
      </c>
      <c r="AC15" s="444">
        <f t="shared" si="38"/>
        <v>396853.54308467999</v>
      </c>
      <c r="AD15" s="444">
        <f t="shared" ref="AD15:AD20" si="39">$D15*K15</f>
        <v>0</v>
      </c>
      <c r="AE15" s="444">
        <f t="shared" ref="AE15:AE20" si="40">$D15*L15</f>
        <v>0</v>
      </c>
      <c r="AF15" s="444">
        <f t="shared" ref="AF15:AF20" si="41">$D15*M15</f>
        <v>0</v>
      </c>
      <c r="AG15" s="444">
        <f t="shared" ref="AG15:AG20" si="42">$D15*N15</f>
        <v>0</v>
      </c>
      <c r="AH15" s="444">
        <f t="shared" ref="AH15:AH20" si="43">$D15*O15</f>
        <v>0</v>
      </c>
      <c r="AI15" s="444">
        <f t="shared" ref="AI15:AI20" si="44">$D15*P15</f>
        <v>0</v>
      </c>
      <c r="AJ15" s="444">
        <f t="shared" ref="AJ15:AJ20" si="45">$D15*Q15</f>
        <v>0</v>
      </c>
      <c r="AK15" s="444">
        <f t="shared" ref="AK15:AK20" si="46">$D15*R15</f>
        <v>0</v>
      </c>
      <c r="AL15" s="444">
        <f t="shared" ref="AL15:AL20" si="47">$D15*S15</f>
        <v>0</v>
      </c>
      <c r="AM15" s="444">
        <f t="shared" ref="AM15:AM20" si="48">$D15*T15</f>
        <v>0</v>
      </c>
      <c r="AN15" s="444">
        <f t="shared" ref="AN15:AN20" si="49">$D15*U15</f>
        <v>0</v>
      </c>
      <c r="AO15" s="444">
        <f t="shared" ref="AO15:AO20" si="50">$D15*V15</f>
        <v>0</v>
      </c>
      <c r="AP15" s="436"/>
      <c r="AQ15" s="47"/>
    </row>
    <row r="16" spans="1:45" outlineLevel="1">
      <c r="A16" s="15">
        <v>2</v>
      </c>
      <c r="B16" s="51" t="s">
        <v>454</v>
      </c>
      <c r="C16" s="18" t="s">
        <v>8</v>
      </c>
      <c r="D16" s="439">
        <v>10323.654800000002</v>
      </c>
      <c r="E16" s="436"/>
      <c r="F16" s="442"/>
      <c r="G16" s="442"/>
      <c r="H16" s="436"/>
      <c r="I16" s="436">
        <v>1.9E-2</v>
      </c>
      <c r="J16" s="440">
        <v>4.7300000000000004</v>
      </c>
      <c r="K16" s="436"/>
      <c r="L16" s="436"/>
      <c r="M16" s="440"/>
      <c r="N16" s="440"/>
      <c r="O16" s="440"/>
      <c r="P16" s="440"/>
      <c r="Q16" s="440"/>
      <c r="R16" s="440"/>
      <c r="S16" s="440"/>
      <c r="T16" s="436"/>
      <c r="U16" s="436"/>
      <c r="V16" s="436"/>
      <c r="W16" s="436"/>
      <c r="X16" s="444">
        <f t="shared" si="35"/>
        <v>0</v>
      </c>
      <c r="Y16" s="444">
        <f t="shared" si="36"/>
        <v>0</v>
      </c>
      <c r="Z16" s="444">
        <f t="shared" si="37"/>
        <v>0</v>
      </c>
      <c r="AA16" s="444">
        <f t="shared" si="38"/>
        <v>0</v>
      </c>
      <c r="AB16" s="444">
        <f t="shared" si="38"/>
        <v>196.14944120000004</v>
      </c>
      <c r="AC16" s="444">
        <f t="shared" si="38"/>
        <v>48830.887204000013</v>
      </c>
      <c r="AD16" s="444">
        <f t="shared" si="39"/>
        <v>0</v>
      </c>
      <c r="AE16" s="444">
        <f t="shared" si="40"/>
        <v>0</v>
      </c>
      <c r="AF16" s="444">
        <f t="shared" si="41"/>
        <v>0</v>
      </c>
      <c r="AG16" s="444">
        <f t="shared" si="42"/>
        <v>0</v>
      </c>
      <c r="AH16" s="444">
        <f t="shared" si="43"/>
        <v>0</v>
      </c>
      <c r="AI16" s="444">
        <f t="shared" si="44"/>
        <v>0</v>
      </c>
      <c r="AJ16" s="444">
        <f t="shared" si="45"/>
        <v>0</v>
      </c>
      <c r="AK16" s="444">
        <f t="shared" si="46"/>
        <v>0</v>
      </c>
      <c r="AL16" s="444">
        <f t="shared" si="47"/>
        <v>0</v>
      </c>
      <c r="AM16" s="444">
        <f t="shared" si="48"/>
        <v>0</v>
      </c>
      <c r="AN16" s="444">
        <f t="shared" si="49"/>
        <v>0</v>
      </c>
      <c r="AO16" s="444">
        <f t="shared" si="50"/>
        <v>0</v>
      </c>
      <c r="AP16" s="436"/>
      <c r="AQ16" s="47"/>
    </row>
    <row r="17" spans="1:43" outlineLevel="1">
      <c r="A17" s="15">
        <v>3</v>
      </c>
      <c r="B17" s="51" t="s">
        <v>318</v>
      </c>
      <c r="C17" s="18" t="s">
        <v>8</v>
      </c>
      <c r="D17" s="439">
        <v>637.952</v>
      </c>
      <c r="E17" s="436"/>
      <c r="F17" s="442"/>
      <c r="G17" s="442"/>
      <c r="H17" s="436"/>
      <c r="I17" s="436">
        <v>1.2999999999999999E-2</v>
      </c>
      <c r="J17" s="440">
        <v>3.34</v>
      </c>
      <c r="K17" s="436"/>
      <c r="L17" s="436"/>
      <c r="M17" s="440"/>
      <c r="N17" s="440"/>
      <c r="O17" s="440"/>
      <c r="P17" s="440"/>
      <c r="Q17" s="440"/>
      <c r="R17" s="440"/>
      <c r="S17" s="440"/>
      <c r="T17" s="436"/>
      <c r="U17" s="436"/>
      <c r="V17" s="436"/>
      <c r="W17" s="436"/>
      <c r="X17" s="444">
        <f t="shared" si="35"/>
        <v>0</v>
      </c>
      <c r="Y17" s="444">
        <f t="shared" si="36"/>
        <v>0</v>
      </c>
      <c r="Z17" s="444">
        <f t="shared" si="37"/>
        <v>0</v>
      </c>
      <c r="AA17" s="444">
        <f t="shared" si="38"/>
        <v>0</v>
      </c>
      <c r="AB17" s="444">
        <f t="shared" si="38"/>
        <v>8.2933760000000003</v>
      </c>
      <c r="AC17" s="444">
        <f t="shared" si="38"/>
        <v>2130.7596800000001</v>
      </c>
      <c r="AD17" s="444">
        <f t="shared" si="39"/>
        <v>0</v>
      </c>
      <c r="AE17" s="444">
        <f t="shared" si="40"/>
        <v>0</v>
      </c>
      <c r="AF17" s="444">
        <f t="shared" si="41"/>
        <v>0</v>
      </c>
      <c r="AG17" s="444">
        <f t="shared" si="42"/>
        <v>0</v>
      </c>
      <c r="AH17" s="444">
        <f t="shared" si="43"/>
        <v>0</v>
      </c>
      <c r="AI17" s="444">
        <f t="shared" si="44"/>
        <v>0</v>
      </c>
      <c r="AJ17" s="444">
        <f t="shared" si="45"/>
        <v>0</v>
      </c>
      <c r="AK17" s="444">
        <f t="shared" si="46"/>
        <v>0</v>
      </c>
      <c r="AL17" s="444">
        <f t="shared" si="47"/>
        <v>0</v>
      </c>
      <c r="AM17" s="444">
        <f t="shared" si="48"/>
        <v>0</v>
      </c>
      <c r="AN17" s="444">
        <f t="shared" si="49"/>
        <v>0</v>
      </c>
      <c r="AO17" s="444">
        <f t="shared" si="50"/>
        <v>0</v>
      </c>
      <c r="AP17" s="436"/>
      <c r="AQ17" s="47"/>
    </row>
    <row r="18" spans="1:43" outlineLevel="1">
      <c r="A18" s="15">
        <v>4</v>
      </c>
      <c r="B18" s="269" t="s">
        <v>455</v>
      </c>
      <c r="C18" s="18" t="s">
        <v>8</v>
      </c>
      <c r="D18" s="439">
        <f>'CÁN NỀN'!G11+'CÁN NỀN'!H11</f>
        <v>26291.1</v>
      </c>
      <c r="E18" s="436"/>
      <c r="F18" s="442"/>
      <c r="G18" s="442"/>
      <c r="H18" s="436"/>
      <c r="I18" s="436">
        <v>3.9E-2</v>
      </c>
      <c r="J18" s="440">
        <v>8.65</v>
      </c>
      <c r="K18" s="436"/>
      <c r="L18" s="436"/>
      <c r="M18" s="440"/>
      <c r="N18" s="440"/>
      <c r="O18" s="440"/>
      <c r="P18" s="440"/>
      <c r="Q18" s="440"/>
      <c r="R18" s="440"/>
      <c r="S18" s="440"/>
      <c r="T18" s="436"/>
      <c r="U18" s="436"/>
      <c r="V18" s="436"/>
      <c r="W18" s="436"/>
      <c r="X18" s="444">
        <f t="shared" si="35"/>
        <v>0</v>
      </c>
      <c r="Y18" s="444">
        <f t="shared" si="36"/>
        <v>0</v>
      </c>
      <c r="Z18" s="444">
        <f t="shared" si="37"/>
        <v>0</v>
      </c>
      <c r="AA18" s="444">
        <f t="shared" si="38"/>
        <v>0</v>
      </c>
      <c r="AB18" s="444">
        <f t="shared" si="38"/>
        <v>1025.3528999999999</v>
      </c>
      <c r="AC18" s="444">
        <f t="shared" si="38"/>
        <v>227418.01499999998</v>
      </c>
      <c r="AD18" s="444">
        <f t="shared" si="39"/>
        <v>0</v>
      </c>
      <c r="AE18" s="444">
        <f t="shared" si="40"/>
        <v>0</v>
      </c>
      <c r="AF18" s="444">
        <f t="shared" si="41"/>
        <v>0</v>
      </c>
      <c r="AG18" s="444">
        <f t="shared" si="42"/>
        <v>0</v>
      </c>
      <c r="AH18" s="444">
        <f t="shared" si="43"/>
        <v>0</v>
      </c>
      <c r="AI18" s="444">
        <f t="shared" si="44"/>
        <v>0</v>
      </c>
      <c r="AJ18" s="444">
        <f t="shared" si="45"/>
        <v>0</v>
      </c>
      <c r="AK18" s="444">
        <f t="shared" si="46"/>
        <v>0</v>
      </c>
      <c r="AL18" s="444">
        <f t="shared" si="47"/>
        <v>0</v>
      </c>
      <c r="AM18" s="444">
        <f t="shared" si="48"/>
        <v>0</v>
      </c>
      <c r="AN18" s="444">
        <f t="shared" si="49"/>
        <v>0</v>
      </c>
      <c r="AO18" s="444">
        <f t="shared" si="50"/>
        <v>0</v>
      </c>
      <c r="AP18" s="436"/>
      <c r="AQ18" s="47"/>
    </row>
    <row r="19" spans="1:43" outlineLevel="1">
      <c r="A19" s="15">
        <v>5</v>
      </c>
      <c r="B19" s="269" t="s">
        <v>391</v>
      </c>
      <c r="C19" s="18" t="s">
        <v>8</v>
      </c>
      <c r="D19" s="439">
        <f>'CÁN NỀN'!I11+'CÁN NỀN'!J11</f>
        <v>4198.619999999999</v>
      </c>
      <c r="E19" s="436"/>
      <c r="F19" s="442"/>
      <c r="G19" s="442"/>
      <c r="H19" s="436"/>
      <c r="I19" s="436">
        <f>I18*1.5</f>
        <v>5.8499999999999996E-2</v>
      </c>
      <c r="J19" s="440">
        <f>J18*1.5</f>
        <v>12.975000000000001</v>
      </c>
      <c r="K19" s="436"/>
      <c r="L19" s="436"/>
      <c r="M19" s="440"/>
      <c r="N19" s="440"/>
      <c r="O19" s="440"/>
      <c r="P19" s="440"/>
      <c r="Q19" s="440"/>
      <c r="R19" s="440"/>
      <c r="S19" s="440"/>
      <c r="T19" s="436"/>
      <c r="U19" s="436"/>
      <c r="V19" s="436"/>
      <c r="W19" s="436"/>
      <c r="X19" s="444">
        <f t="shared" si="35"/>
        <v>0</v>
      </c>
      <c r="Y19" s="444">
        <f t="shared" si="36"/>
        <v>0</v>
      </c>
      <c r="Z19" s="444">
        <f t="shared" si="37"/>
        <v>0</v>
      </c>
      <c r="AA19" s="444">
        <f t="shared" si="38"/>
        <v>0</v>
      </c>
      <c r="AB19" s="444">
        <f t="shared" si="38"/>
        <v>245.61926999999991</v>
      </c>
      <c r="AC19" s="444">
        <f t="shared" si="38"/>
        <v>54477.094499999992</v>
      </c>
      <c r="AD19" s="444">
        <f t="shared" si="39"/>
        <v>0</v>
      </c>
      <c r="AE19" s="444">
        <f t="shared" si="40"/>
        <v>0</v>
      </c>
      <c r="AF19" s="444">
        <f t="shared" si="41"/>
        <v>0</v>
      </c>
      <c r="AG19" s="444">
        <f t="shared" si="42"/>
        <v>0</v>
      </c>
      <c r="AH19" s="444">
        <f t="shared" si="43"/>
        <v>0</v>
      </c>
      <c r="AI19" s="444">
        <f t="shared" si="44"/>
        <v>0</v>
      </c>
      <c r="AJ19" s="444">
        <f t="shared" si="45"/>
        <v>0</v>
      </c>
      <c r="AK19" s="444">
        <f t="shared" si="46"/>
        <v>0</v>
      </c>
      <c r="AL19" s="444">
        <f t="shared" si="47"/>
        <v>0</v>
      </c>
      <c r="AM19" s="444">
        <f t="shared" si="48"/>
        <v>0</v>
      </c>
      <c r="AN19" s="444">
        <f t="shared" si="49"/>
        <v>0</v>
      </c>
      <c r="AO19" s="444">
        <f t="shared" si="50"/>
        <v>0</v>
      </c>
      <c r="AP19" s="436"/>
      <c r="AQ19" s="47"/>
    </row>
    <row r="20" spans="1:43" outlineLevel="1">
      <c r="A20" s="15">
        <v>6</v>
      </c>
      <c r="B20" s="269" t="s">
        <v>320</v>
      </c>
      <c r="C20" s="18" t="s">
        <v>323</v>
      </c>
      <c r="D20" s="439">
        <f>'TH KL TRÁM VÁ'!H63*0.1</f>
        <v>615.20000000000005</v>
      </c>
      <c r="E20" s="436"/>
      <c r="F20" s="442"/>
      <c r="G20" s="442"/>
      <c r="H20" s="436"/>
      <c r="I20" s="436">
        <v>0.03</v>
      </c>
      <c r="J20" s="440">
        <v>4.7300000000000004</v>
      </c>
      <c r="K20" s="436"/>
      <c r="L20" s="436"/>
      <c r="M20" s="440"/>
      <c r="N20" s="440"/>
      <c r="O20" s="440"/>
      <c r="P20" s="440"/>
      <c r="Q20" s="440"/>
      <c r="R20" s="440"/>
      <c r="S20" s="440"/>
      <c r="T20" s="436"/>
      <c r="U20" s="436"/>
      <c r="V20" s="436"/>
      <c r="W20" s="436"/>
      <c r="X20" s="444">
        <f t="shared" si="35"/>
        <v>0</v>
      </c>
      <c r="Y20" s="444">
        <f t="shared" si="36"/>
        <v>0</v>
      </c>
      <c r="Z20" s="444">
        <f t="shared" si="37"/>
        <v>0</v>
      </c>
      <c r="AA20" s="444">
        <f t="shared" si="38"/>
        <v>0</v>
      </c>
      <c r="AB20" s="444">
        <f t="shared" si="38"/>
        <v>18.456</v>
      </c>
      <c r="AC20" s="444">
        <f t="shared" si="38"/>
        <v>2909.8960000000006</v>
      </c>
      <c r="AD20" s="444">
        <f t="shared" si="39"/>
        <v>0</v>
      </c>
      <c r="AE20" s="444">
        <f t="shared" si="40"/>
        <v>0</v>
      </c>
      <c r="AF20" s="444">
        <f t="shared" si="41"/>
        <v>0</v>
      </c>
      <c r="AG20" s="444">
        <f t="shared" si="42"/>
        <v>0</v>
      </c>
      <c r="AH20" s="444">
        <f t="shared" si="43"/>
        <v>0</v>
      </c>
      <c r="AI20" s="444">
        <f t="shared" si="44"/>
        <v>0</v>
      </c>
      <c r="AJ20" s="444">
        <f t="shared" si="45"/>
        <v>0</v>
      </c>
      <c r="AK20" s="444">
        <f t="shared" si="46"/>
        <v>0</v>
      </c>
      <c r="AL20" s="444">
        <f t="shared" si="47"/>
        <v>0</v>
      </c>
      <c r="AM20" s="444">
        <f t="shared" si="48"/>
        <v>0</v>
      </c>
      <c r="AN20" s="444">
        <f t="shared" si="49"/>
        <v>0</v>
      </c>
      <c r="AO20" s="444">
        <f t="shared" si="50"/>
        <v>0</v>
      </c>
      <c r="AP20" s="436"/>
      <c r="AQ20" s="47"/>
    </row>
    <row r="21" spans="1:43" s="14" customFormat="1">
      <c r="A21" s="33"/>
      <c r="B21" s="34" t="s">
        <v>382</v>
      </c>
      <c r="C21" s="36"/>
      <c r="D21" s="33"/>
      <c r="E21" s="437"/>
      <c r="F21" s="443"/>
      <c r="G21" s="443"/>
      <c r="H21" s="437"/>
      <c r="I21" s="437"/>
      <c r="J21" s="441"/>
      <c r="K21" s="437"/>
      <c r="L21" s="437"/>
      <c r="M21" s="441"/>
      <c r="N21" s="441"/>
      <c r="O21" s="441"/>
      <c r="P21" s="441"/>
      <c r="Q21" s="441"/>
      <c r="R21" s="441"/>
      <c r="S21" s="441"/>
      <c r="T21" s="437"/>
      <c r="U21" s="437"/>
      <c r="V21" s="437"/>
      <c r="W21" s="437"/>
      <c r="X21" s="445">
        <f>SUBTOTAL(9,X22:X29)</f>
        <v>0</v>
      </c>
      <c r="Y21" s="445">
        <f t="shared" ref="Y21:AJ21" si="51">SUBTOTAL(9,Y22:Y29)</f>
        <v>0</v>
      </c>
      <c r="Z21" s="445">
        <f t="shared" si="51"/>
        <v>0</v>
      </c>
      <c r="AA21" s="445">
        <f>SUBTOTAL(9,AA22:AA29)</f>
        <v>106.06049999999999</v>
      </c>
      <c r="AB21" s="445">
        <f>SUBTOTAL(9,AB22:AB29)</f>
        <v>10.32</v>
      </c>
      <c r="AC21" s="445">
        <f>SUBTOTAL(9,AC22:AC29)</f>
        <v>107002.31430000003</v>
      </c>
      <c r="AD21" s="445">
        <f t="shared" si="51"/>
        <v>24337.881539999998</v>
      </c>
      <c r="AE21" s="445">
        <f t="shared" si="51"/>
        <v>3698.2442849999993</v>
      </c>
      <c r="AF21" s="445">
        <f t="shared" si="51"/>
        <v>112752.84013888887</v>
      </c>
      <c r="AG21" s="445">
        <f t="shared" si="51"/>
        <v>2356.7250000000004</v>
      </c>
      <c r="AH21" s="445">
        <f t="shared" si="51"/>
        <v>15621.781111111119</v>
      </c>
      <c r="AI21" s="445">
        <f t="shared" si="51"/>
        <v>484.54750000000007</v>
      </c>
      <c r="AJ21" s="445">
        <f t="shared" si="51"/>
        <v>225.28611111111113</v>
      </c>
      <c r="AK21" s="445">
        <f t="shared" ref="AK21" si="52">SUBTOTAL(9,AK22:AK29)</f>
        <v>20184.733333333337</v>
      </c>
      <c r="AL21" s="445">
        <f t="shared" ref="AL21" si="53">SUBTOTAL(9,AL22:AL29)</f>
        <v>3860.4444444444448</v>
      </c>
      <c r="AM21" s="445">
        <f t="shared" ref="AM21" si="54">SUBTOTAL(9,AM22:AM29)</f>
        <v>0</v>
      </c>
      <c r="AN21" s="445">
        <f t="shared" ref="AN21" si="55">SUBTOTAL(9,AN22:AN29)</f>
        <v>0</v>
      </c>
      <c r="AO21" s="445">
        <f t="shared" ref="AO21" si="56">SUBTOTAL(9,AO22:AO29)</f>
        <v>0</v>
      </c>
      <c r="AP21" s="437"/>
      <c r="AQ21" s="36" t="s">
        <v>319</v>
      </c>
    </row>
    <row r="22" spans="1:43" outlineLevel="1">
      <c r="A22" s="15">
        <v>1</v>
      </c>
      <c r="B22" s="51" t="s">
        <v>384</v>
      </c>
      <c r="C22" s="18" t="s">
        <v>8</v>
      </c>
      <c r="D22" s="439">
        <f>'DỰ TRÙ VT ỐP LÁT'!G8</f>
        <v>15763.394499999993</v>
      </c>
      <c r="E22" s="436"/>
      <c r="F22" s="442"/>
      <c r="G22" s="442"/>
      <c r="H22" s="436"/>
      <c r="I22" s="436"/>
      <c r="J22" s="440">
        <v>2.4000000000000004</v>
      </c>
      <c r="K22" s="436">
        <v>0.72</v>
      </c>
      <c r="L22" s="436">
        <v>0.13</v>
      </c>
      <c r="M22" s="440">
        <f>1.05/0.3/0.6</f>
        <v>5.8333333333333339</v>
      </c>
      <c r="N22" s="440"/>
      <c r="O22" s="440"/>
      <c r="P22" s="440"/>
      <c r="Q22" s="440"/>
      <c r="R22" s="440"/>
      <c r="S22" s="440"/>
      <c r="T22" s="436"/>
      <c r="U22" s="436"/>
      <c r="V22" s="436"/>
      <c r="W22" s="436"/>
      <c r="X22" s="444">
        <f t="shared" ref="X22:X29" si="57">$D22*E22</f>
        <v>0</v>
      </c>
      <c r="Y22" s="444">
        <f t="shared" ref="Y22:Y29" si="58">$D22*F22</f>
        <v>0</v>
      </c>
      <c r="Z22" s="444">
        <f t="shared" ref="Z22:Z29" si="59">$D22*G22</f>
        <v>0</v>
      </c>
      <c r="AA22" s="444">
        <f>$D22*H22</f>
        <v>0</v>
      </c>
      <c r="AB22" s="444">
        <f>$D22*I22</f>
        <v>0</v>
      </c>
      <c r="AC22" s="444">
        <f>$D22*J22</f>
        <v>37832.146799999988</v>
      </c>
      <c r="AD22" s="444">
        <f t="shared" ref="AD22:AD29" si="60">$D22*K22</f>
        <v>11349.644039999994</v>
      </c>
      <c r="AE22" s="444">
        <f t="shared" ref="AE22:AE29" si="61">$D22*L22</f>
        <v>2049.2412849999992</v>
      </c>
      <c r="AF22" s="444">
        <f t="shared" ref="AF22:AF29" si="62">$D22*M22</f>
        <v>91953.134583333303</v>
      </c>
      <c r="AG22" s="444">
        <f t="shared" ref="AG22:AG29" si="63">$D22*N22</f>
        <v>0</v>
      </c>
      <c r="AH22" s="444">
        <f t="shared" ref="AH22:AH29" si="64">$D22*O22</f>
        <v>0</v>
      </c>
      <c r="AI22" s="444">
        <f t="shared" ref="AI22:AI29" si="65">$D22*P22</f>
        <v>0</v>
      </c>
      <c r="AJ22" s="444">
        <f t="shared" ref="AJ22:AJ29" si="66">$D22*Q22</f>
        <v>0</v>
      </c>
      <c r="AK22" s="444">
        <f t="shared" ref="AK22:AK29" si="67">$D22*R22</f>
        <v>0</v>
      </c>
      <c r="AL22" s="444">
        <f t="shared" ref="AL22:AL29" si="68">$D22*S22</f>
        <v>0</v>
      </c>
      <c r="AM22" s="444">
        <f t="shared" ref="AM22:AM29" si="69">$D22*T22</f>
        <v>0</v>
      </c>
      <c r="AN22" s="444">
        <f t="shared" ref="AN22:AN29" si="70">$D22*U22</f>
        <v>0</v>
      </c>
      <c r="AO22" s="444">
        <f t="shared" ref="AO22:AO29" si="71">$D22*V22</f>
        <v>0</v>
      </c>
      <c r="AP22" s="436"/>
      <c r="AQ22" s="47" t="s">
        <v>319</v>
      </c>
    </row>
    <row r="23" spans="1:43" outlineLevel="1">
      <c r="A23" s="15">
        <v>2</v>
      </c>
      <c r="B23" s="51" t="s">
        <v>385</v>
      </c>
      <c r="C23" s="18" t="s">
        <v>8</v>
      </c>
      <c r="D23" s="439">
        <f>'DỰ TRÙ VT ỐP LÁT'!F8</f>
        <v>3634.9000000000019</v>
      </c>
      <c r="E23" s="436"/>
      <c r="F23" s="442"/>
      <c r="G23" s="442"/>
      <c r="H23" s="436"/>
      <c r="I23" s="436"/>
      <c r="J23" s="440">
        <v>4</v>
      </c>
      <c r="K23" s="436">
        <v>1.2</v>
      </c>
      <c r="L23" s="436">
        <v>0.13</v>
      </c>
      <c r="M23" s="440">
        <f>1.03/0.3/0.6</f>
        <v>5.7222222222222232</v>
      </c>
      <c r="N23" s="440"/>
      <c r="O23" s="440"/>
      <c r="P23" s="440"/>
      <c r="Q23" s="440"/>
      <c r="R23" s="440"/>
      <c r="S23" s="440"/>
      <c r="T23" s="436"/>
      <c r="U23" s="436"/>
      <c r="V23" s="436"/>
      <c r="W23" s="436"/>
      <c r="X23" s="444">
        <f t="shared" si="57"/>
        <v>0</v>
      </c>
      <c r="Y23" s="444">
        <f t="shared" si="58"/>
        <v>0</v>
      </c>
      <c r="Z23" s="444">
        <f t="shared" si="59"/>
        <v>0</v>
      </c>
      <c r="AA23" s="444">
        <f t="shared" ref="AA23:AA29" si="72">$D23*H23</f>
        <v>0</v>
      </c>
      <c r="AB23" s="444">
        <f t="shared" ref="AB23:AB29" si="73">$D23*I23</f>
        <v>0</v>
      </c>
      <c r="AC23" s="444">
        <f t="shared" ref="AC23:AC29" si="74">$D23*J23</f>
        <v>14539.600000000008</v>
      </c>
      <c r="AD23" s="444">
        <f t="shared" si="60"/>
        <v>4361.8800000000019</v>
      </c>
      <c r="AE23" s="444">
        <f t="shared" si="61"/>
        <v>472.53700000000026</v>
      </c>
      <c r="AF23" s="444">
        <f t="shared" si="62"/>
        <v>20799.705555555571</v>
      </c>
      <c r="AG23" s="444">
        <f t="shared" si="63"/>
        <v>0</v>
      </c>
      <c r="AH23" s="444">
        <f t="shared" si="64"/>
        <v>0</v>
      </c>
      <c r="AI23" s="444">
        <f t="shared" si="65"/>
        <v>0</v>
      </c>
      <c r="AJ23" s="444">
        <f t="shared" si="66"/>
        <v>0</v>
      </c>
      <c r="AK23" s="444">
        <f t="shared" si="67"/>
        <v>0</v>
      </c>
      <c r="AL23" s="444">
        <f t="shared" si="68"/>
        <v>0</v>
      </c>
      <c r="AM23" s="444">
        <f t="shared" si="69"/>
        <v>0</v>
      </c>
      <c r="AN23" s="444">
        <f t="shared" si="70"/>
        <v>0</v>
      </c>
      <c r="AO23" s="444">
        <f t="shared" si="71"/>
        <v>0</v>
      </c>
      <c r="AP23" s="436"/>
      <c r="AQ23" s="47" t="s">
        <v>319</v>
      </c>
    </row>
    <row r="24" spans="1:43" outlineLevel="1">
      <c r="A24" s="15">
        <v>3</v>
      </c>
      <c r="B24" s="51" t="s">
        <v>383</v>
      </c>
      <c r="C24" s="18" t="s">
        <v>8</v>
      </c>
      <c r="D24" s="439">
        <f>'DỰ TRÙ VT ỐP LÁT'!H8</f>
        <v>211.05000000000004</v>
      </c>
      <c r="E24" s="436"/>
      <c r="F24" s="442"/>
      <c r="G24" s="442"/>
      <c r="H24" s="436"/>
      <c r="I24" s="436"/>
      <c r="J24" s="440">
        <v>4</v>
      </c>
      <c r="K24" s="436">
        <v>1.2</v>
      </c>
      <c r="L24" s="436">
        <v>2</v>
      </c>
      <c r="M24" s="440"/>
      <c r="N24" s="440">
        <f>1.005/0.3/0.3</f>
        <v>11.166666666666666</v>
      </c>
      <c r="O24" s="440"/>
      <c r="P24" s="440"/>
      <c r="Q24" s="440"/>
      <c r="R24" s="440"/>
      <c r="S24" s="440"/>
      <c r="T24" s="436"/>
      <c r="U24" s="436"/>
      <c r="V24" s="436"/>
      <c r="W24" s="436"/>
      <c r="X24" s="444">
        <f t="shared" si="57"/>
        <v>0</v>
      </c>
      <c r="Y24" s="444">
        <f t="shared" si="58"/>
        <v>0</v>
      </c>
      <c r="Z24" s="444">
        <f t="shared" si="59"/>
        <v>0</v>
      </c>
      <c r="AA24" s="444">
        <f t="shared" si="72"/>
        <v>0</v>
      </c>
      <c r="AB24" s="444">
        <f t="shared" si="73"/>
        <v>0</v>
      </c>
      <c r="AC24" s="444">
        <f t="shared" si="74"/>
        <v>844.20000000000016</v>
      </c>
      <c r="AD24" s="444">
        <f t="shared" si="60"/>
        <v>253.26000000000005</v>
      </c>
      <c r="AE24" s="444">
        <f t="shared" si="61"/>
        <v>422.10000000000008</v>
      </c>
      <c r="AF24" s="444">
        <f t="shared" si="62"/>
        <v>0</v>
      </c>
      <c r="AG24" s="444">
        <f t="shared" si="63"/>
        <v>2356.7250000000004</v>
      </c>
      <c r="AH24" s="444">
        <f t="shared" si="64"/>
        <v>0</v>
      </c>
      <c r="AI24" s="444">
        <f t="shared" si="65"/>
        <v>0</v>
      </c>
      <c r="AJ24" s="444">
        <f t="shared" si="66"/>
        <v>0</v>
      </c>
      <c r="AK24" s="444">
        <f t="shared" si="67"/>
        <v>0</v>
      </c>
      <c r="AL24" s="444">
        <f t="shared" si="68"/>
        <v>0</v>
      </c>
      <c r="AM24" s="444">
        <f t="shared" si="69"/>
        <v>0</v>
      </c>
      <c r="AN24" s="444">
        <f t="shared" si="70"/>
        <v>0</v>
      </c>
      <c r="AO24" s="444">
        <f t="shared" si="71"/>
        <v>0</v>
      </c>
      <c r="AP24" s="436"/>
      <c r="AQ24" s="47" t="s">
        <v>319</v>
      </c>
    </row>
    <row r="25" spans="1:43" outlineLevel="1">
      <c r="A25" s="15">
        <v>4</v>
      </c>
      <c r="B25" s="269" t="s">
        <v>386</v>
      </c>
      <c r="C25" s="18" t="s">
        <v>8</v>
      </c>
      <c r="D25" s="439">
        <f>'DỰ TRÙ VT ỐP LÁT'!E8</f>
        <v>5460.0400000000018</v>
      </c>
      <c r="E25" s="436"/>
      <c r="F25" s="442"/>
      <c r="G25" s="442"/>
      <c r="H25" s="436"/>
      <c r="I25" s="436"/>
      <c r="J25" s="440">
        <v>4.5</v>
      </c>
      <c r="K25" s="436">
        <v>1.35</v>
      </c>
      <c r="L25" s="436">
        <v>0.12</v>
      </c>
      <c r="M25" s="440"/>
      <c r="N25" s="440"/>
      <c r="O25" s="440">
        <f>1.03/0.6/0.6</f>
        <v>2.8611111111111116</v>
      </c>
      <c r="P25" s="440"/>
      <c r="Q25" s="440"/>
      <c r="R25" s="440"/>
      <c r="S25" s="440"/>
      <c r="T25" s="436"/>
      <c r="U25" s="436"/>
      <c r="V25" s="436"/>
      <c r="W25" s="436"/>
      <c r="X25" s="444">
        <f t="shared" si="57"/>
        <v>0</v>
      </c>
      <c r="Y25" s="444">
        <f t="shared" si="58"/>
        <v>0</v>
      </c>
      <c r="Z25" s="444">
        <f t="shared" si="59"/>
        <v>0</v>
      </c>
      <c r="AA25" s="444">
        <f t="shared" si="72"/>
        <v>0</v>
      </c>
      <c r="AB25" s="444">
        <f t="shared" si="73"/>
        <v>0</v>
      </c>
      <c r="AC25" s="444">
        <f t="shared" si="74"/>
        <v>24570.180000000008</v>
      </c>
      <c r="AD25" s="444">
        <f t="shared" si="60"/>
        <v>7371.0540000000028</v>
      </c>
      <c r="AE25" s="444">
        <f t="shared" si="61"/>
        <v>655.2048000000002</v>
      </c>
      <c r="AF25" s="444">
        <f t="shared" si="62"/>
        <v>0</v>
      </c>
      <c r="AG25" s="444">
        <f t="shared" si="63"/>
        <v>0</v>
      </c>
      <c r="AH25" s="444">
        <f t="shared" si="64"/>
        <v>15621.781111111119</v>
      </c>
      <c r="AI25" s="444">
        <f t="shared" si="65"/>
        <v>0</v>
      </c>
      <c r="AJ25" s="444">
        <f t="shared" si="66"/>
        <v>0</v>
      </c>
      <c r="AK25" s="444">
        <f t="shared" si="67"/>
        <v>0</v>
      </c>
      <c r="AL25" s="444">
        <f t="shared" si="68"/>
        <v>0</v>
      </c>
      <c r="AM25" s="444">
        <f t="shared" si="69"/>
        <v>0</v>
      </c>
      <c r="AN25" s="444">
        <f t="shared" si="70"/>
        <v>0</v>
      </c>
      <c r="AO25" s="444">
        <f t="shared" si="71"/>
        <v>0</v>
      </c>
      <c r="AP25" s="436"/>
      <c r="AQ25" s="47" t="s">
        <v>319</v>
      </c>
    </row>
    <row r="26" spans="1:43" outlineLevel="1">
      <c r="A26" s="15">
        <v>5</v>
      </c>
      <c r="B26" s="269" t="s">
        <v>387</v>
      </c>
      <c r="C26" s="18" t="s">
        <v>8</v>
      </c>
      <c r="D26" s="439">
        <f>'DỰ TRÙ VT ỐP LÁT'!D8</f>
        <v>172.71</v>
      </c>
      <c r="E26" s="436"/>
      <c r="F26" s="442"/>
      <c r="G26" s="442"/>
      <c r="H26" s="436"/>
      <c r="I26" s="436"/>
      <c r="J26" s="440">
        <v>4.5</v>
      </c>
      <c r="K26" s="436">
        <v>1.35</v>
      </c>
      <c r="L26" s="436">
        <v>0.12</v>
      </c>
      <c r="M26" s="440"/>
      <c r="N26" s="440"/>
      <c r="O26" s="440"/>
      <c r="P26" s="440">
        <f>1.01/0.6/0.6</f>
        <v>2.8055555555555558</v>
      </c>
      <c r="Q26" s="440"/>
      <c r="R26" s="440"/>
      <c r="S26" s="440"/>
      <c r="T26" s="436"/>
      <c r="U26" s="436"/>
      <c r="V26" s="436"/>
      <c r="W26" s="436"/>
      <c r="X26" s="444">
        <f t="shared" si="57"/>
        <v>0</v>
      </c>
      <c r="Y26" s="444">
        <f t="shared" si="58"/>
        <v>0</v>
      </c>
      <c r="Z26" s="444">
        <f t="shared" si="59"/>
        <v>0</v>
      </c>
      <c r="AA26" s="444">
        <f t="shared" si="72"/>
        <v>0</v>
      </c>
      <c r="AB26" s="444">
        <f t="shared" si="73"/>
        <v>0</v>
      </c>
      <c r="AC26" s="444">
        <f t="shared" si="74"/>
        <v>777.19500000000005</v>
      </c>
      <c r="AD26" s="444">
        <f t="shared" si="60"/>
        <v>233.15850000000003</v>
      </c>
      <c r="AE26" s="444">
        <f t="shared" si="61"/>
        <v>20.725200000000001</v>
      </c>
      <c r="AF26" s="444">
        <f t="shared" si="62"/>
        <v>0</v>
      </c>
      <c r="AG26" s="444">
        <f t="shared" si="63"/>
        <v>0</v>
      </c>
      <c r="AH26" s="444">
        <f t="shared" si="64"/>
        <v>0</v>
      </c>
      <c r="AI26" s="444">
        <f t="shared" si="65"/>
        <v>484.54750000000007</v>
      </c>
      <c r="AJ26" s="444">
        <f t="shared" si="66"/>
        <v>0</v>
      </c>
      <c r="AK26" s="444">
        <f t="shared" si="67"/>
        <v>0</v>
      </c>
      <c r="AL26" s="444">
        <f t="shared" si="68"/>
        <v>0</v>
      </c>
      <c r="AM26" s="444">
        <f t="shared" si="69"/>
        <v>0</v>
      </c>
      <c r="AN26" s="444">
        <f t="shared" si="70"/>
        <v>0</v>
      </c>
      <c r="AO26" s="444">
        <f t="shared" si="71"/>
        <v>0</v>
      </c>
      <c r="AP26" s="436"/>
      <c r="AQ26" s="47"/>
    </row>
    <row r="27" spans="1:43" outlineLevel="1">
      <c r="A27" s="15">
        <v>6</v>
      </c>
      <c r="B27" s="269" t="s">
        <v>453</v>
      </c>
      <c r="C27" s="18" t="s">
        <v>8</v>
      </c>
      <c r="D27" s="439">
        <f>'DỰ TRÙ VT ỐP LÁT'!C8</f>
        <v>80.3</v>
      </c>
      <c r="E27" s="436"/>
      <c r="F27" s="442"/>
      <c r="G27" s="442"/>
      <c r="H27" s="436"/>
      <c r="I27" s="436"/>
      <c r="J27" s="440">
        <v>4.5</v>
      </c>
      <c r="K27" s="436">
        <v>1.35</v>
      </c>
      <c r="L27" s="436">
        <v>0.12</v>
      </c>
      <c r="M27" s="440"/>
      <c r="N27" s="440"/>
      <c r="O27" s="440"/>
      <c r="P27" s="440"/>
      <c r="Q27" s="440">
        <f>1.01/0.6/0.6</f>
        <v>2.8055555555555558</v>
      </c>
      <c r="R27" s="440"/>
      <c r="S27" s="440"/>
      <c r="T27" s="436"/>
      <c r="U27" s="436"/>
      <c r="V27" s="436"/>
      <c r="W27" s="436"/>
      <c r="X27" s="444">
        <f t="shared" si="57"/>
        <v>0</v>
      </c>
      <c r="Y27" s="444">
        <f t="shared" si="58"/>
        <v>0</v>
      </c>
      <c r="Z27" s="444">
        <f t="shared" si="59"/>
        <v>0</v>
      </c>
      <c r="AA27" s="444">
        <f t="shared" si="72"/>
        <v>0</v>
      </c>
      <c r="AB27" s="444">
        <f t="shared" si="73"/>
        <v>0</v>
      </c>
      <c r="AC27" s="444">
        <f t="shared" si="74"/>
        <v>361.34999999999997</v>
      </c>
      <c r="AD27" s="444">
        <f t="shared" si="60"/>
        <v>108.405</v>
      </c>
      <c r="AE27" s="444">
        <f t="shared" si="61"/>
        <v>9.6359999999999992</v>
      </c>
      <c r="AF27" s="444">
        <f t="shared" si="62"/>
        <v>0</v>
      </c>
      <c r="AG27" s="444">
        <f t="shared" si="63"/>
        <v>0</v>
      </c>
      <c r="AH27" s="444">
        <f t="shared" si="64"/>
        <v>0</v>
      </c>
      <c r="AI27" s="444">
        <f t="shared" si="65"/>
        <v>0</v>
      </c>
      <c r="AJ27" s="444">
        <f t="shared" si="66"/>
        <v>225.28611111111113</v>
      </c>
      <c r="AK27" s="444">
        <f t="shared" si="67"/>
        <v>0</v>
      </c>
      <c r="AL27" s="444">
        <f t="shared" si="68"/>
        <v>0</v>
      </c>
      <c r="AM27" s="444">
        <f t="shared" si="69"/>
        <v>0</v>
      </c>
      <c r="AN27" s="444">
        <f t="shared" si="70"/>
        <v>0</v>
      </c>
      <c r="AO27" s="444">
        <f t="shared" si="71"/>
        <v>0</v>
      </c>
      <c r="AP27" s="436"/>
      <c r="AQ27" s="47"/>
    </row>
    <row r="28" spans="1:43" outlineLevel="1">
      <c r="A28" s="15">
        <v>7</v>
      </c>
      <c r="B28" s="269" t="s">
        <v>466</v>
      </c>
      <c r="C28" s="18" t="s">
        <v>8</v>
      </c>
      <c r="D28" s="439">
        <f>738+432+643</f>
        <v>1813</v>
      </c>
      <c r="E28" s="436"/>
      <c r="F28" s="442"/>
      <c r="G28" s="442"/>
      <c r="H28" s="436">
        <v>5.8499999999999996E-2</v>
      </c>
      <c r="I28" s="436"/>
      <c r="J28" s="440">
        <f>12.975*1.1</f>
        <v>14.272500000000001</v>
      </c>
      <c r="K28" s="436"/>
      <c r="L28" s="436"/>
      <c r="M28" s="440"/>
      <c r="N28" s="440"/>
      <c r="O28" s="440"/>
      <c r="P28" s="440"/>
      <c r="Q28" s="440"/>
      <c r="R28" s="440">
        <f>1.002/0.3/0.3</f>
        <v>11.133333333333335</v>
      </c>
      <c r="S28" s="440"/>
      <c r="T28" s="436"/>
      <c r="U28" s="436"/>
      <c r="V28" s="436"/>
      <c r="W28" s="436"/>
      <c r="X28" s="444">
        <f t="shared" si="57"/>
        <v>0</v>
      </c>
      <c r="Y28" s="444">
        <f t="shared" si="58"/>
        <v>0</v>
      </c>
      <c r="Z28" s="444">
        <f t="shared" si="59"/>
        <v>0</v>
      </c>
      <c r="AA28" s="444">
        <f t="shared" si="72"/>
        <v>106.06049999999999</v>
      </c>
      <c r="AB28" s="444">
        <f t="shared" si="73"/>
        <v>0</v>
      </c>
      <c r="AC28" s="444">
        <f t="shared" si="74"/>
        <v>25876.042500000003</v>
      </c>
      <c r="AD28" s="444">
        <f t="shared" si="60"/>
        <v>0</v>
      </c>
      <c r="AE28" s="444">
        <f t="shared" si="61"/>
        <v>0</v>
      </c>
      <c r="AF28" s="444">
        <f t="shared" si="62"/>
        <v>0</v>
      </c>
      <c r="AG28" s="444">
        <f t="shared" si="63"/>
        <v>0</v>
      </c>
      <c r="AH28" s="444">
        <f t="shared" si="64"/>
        <v>0</v>
      </c>
      <c r="AI28" s="444">
        <f t="shared" si="65"/>
        <v>0</v>
      </c>
      <c r="AJ28" s="444">
        <f t="shared" si="66"/>
        <v>0</v>
      </c>
      <c r="AK28" s="444">
        <f t="shared" si="67"/>
        <v>20184.733333333337</v>
      </c>
      <c r="AL28" s="444">
        <f t="shared" si="68"/>
        <v>0</v>
      </c>
      <c r="AM28" s="444">
        <f t="shared" si="69"/>
        <v>0</v>
      </c>
      <c r="AN28" s="444">
        <f t="shared" si="70"/>
        <v>0</v>
      </c>
      <c r="AO28" s="444">
        <f t="shared" si="71"/>
        <v>0</v>
      </c>
      <c r="AP28" s="436"/>
      <c r="AQ28" s="47"/>
    </row>
    <row r="29" spans="1:43" outlineLevel="1">
      <c r="A29" s="15">
        <v>8</v>
      </c>
      <c r="B29" s="51" t="s">
        <v>388</v>
      </c>
      <c r="C29" s="18" t="s">
        <v>8</v>
      </c>
      <c r="D29" s="439">
        <v>344</v>
      </c>
      <c r="E29" s="436"/>
      <c r="F29" s="442"/>
      <c r="G29" s="442"/>
      <c r="H29" s="436"/>
      <c r="I29" s="436">
        <v>0.03</v>
      </c>
      <c r="J29" s="440">
        <v>6.4</v>
      </c>
      <c r="K29" s="436">
        <f>J29*30%</f>
        <v>1.92</v>
      </c>
      <c r="L29" s="436">
        <v>0.2</v>
      </c>
      <c r="M29" s="440"/>
      <c r="N29" s="440"/>
      <c r="O29" s="440"/>
      <c r="P29" s="440"/>
      <c r="Q29" s="440"/>
      <c r="R29" s="440"/>
      <c r="S29" s="440">
        <f>1.01/0.3/0.3</f>
        <v>11.222222222222223</v>
      </c>
      <c r="T29" s="436"/>
      <c r="U29" s="436"/>
      <c r="V29" s="436"/>
      <c r="W29" s="436"/>
      <c r="X29" s="444">
        <f t="shared" si="57"/>
        <v>0</v>
      </c>
      <c r="Y29" s="444">
        <f t="shared" si="58"/>
        <v>0</v>
      </c>
      <c r="Z29" s="444">
        <f t="shared" si="59"/>
        <v>0</v>
      </c>
      <c r="AA29" s="444">
        <f t="shared" si="72"/>
        <v>0</v>
      </c>
      <c r="AB29" s="444">
        <f t="shared" si="73"/>
        <v>10.32</v>
      </c>
      <c r="AC29" s="444">
        <f t="shared" si="74"/>
        <v>2201.6</v>
      </c>
      <c r="AD29" s="444">
        <f t="shared" si="60"/>
        <v>660.48</v>
      </c>
      <c r="AE29" s="444">
        <f t="shared" si="61"/>
        <v>68.8</v>
      </c>
      <c r="AF29" s="444">
        <f t="shared" si="62"/>
        <v>0</v>
      </c>
      <c r="AG29" s="444">
        <f t="shared" si="63"/>
        <v>0</v>
      </c>
      <c r="AH29" s="444">
        <f t="shared" si="64"/>
        <v>0</v>
      </c>
      <c r="AI29" s="444">
        <f t="shared" si="65"/>
        <v>0</v>
      </c>
      <c r="AJ29" s="444">
        <f t="shared" si="66"/>
        <v>0</v>
      </c>
      <c r="AK29" s="444">
        <f t="shared" si="67"/>
        <v>0</v>
      </c>
      <c r="AL29" s="444">
        <f t="shared" si="68"/>
        <v>3860.4444444444448</v>
      </c>
      <c r="AM29" s="444">
        <f t="shared" si="69"/>
        <v>0</v>
      </c>
      <c r="AN29" s="444">
        <f t="shared" si="70"/>
        <v>0</v>
      </c>
      <c r="AO29" s="444">
        <f t="shared" si="71"/>
        <v>0</v>
      </c>
      <c r="AP29" s="436"/>
      <c r="AQ29" s="47"/>
    </row>
    <row r="30" spans="1:43" s="14" customFormat="1">
      <c r="A30" s="33"/>
      <c r="B30" s="34" t="s">
        <v>390</v>
      </c>
      <c r="C30" s="36"/>
      <c r="D30" s="33"/>
      <c r="E30" s="437"/>
      <c r="F30" s="443"/>
      <c r="G30" s="443"/>
      <c r="H30" s="437"/>
      <c r="I30" s="437"/>
      <c r="J30" s="441"/>
      <c r="K30" s="437"/>
      <c r="L30" s="437"/>
      <c r="M30" s="441"/>
      <c r="N30" s="441"/>
      <c r="O30" s="441"/>
      <c r="P30" s="441"/>
      <c r="Q30" s="441"/>
      <c r="R30" s="441"/>
      <c r="S30" s="441"/>
      <c r="T30" s="437"/>
      <c r="U30" s="437"/>
      <c r="V30" s="437"/>
      <c r="W30" s="437"/>
      <c r="X30" s="445">
        <f>SUBTOTAL(9,X31:X33)</f>
        <v>0</v>
      </c>
      <c r="Y30" s="445">
        <f t="shared" ref="Y30:AJ30" si="75">SUBTOTAL(9,Y31:Y33)</f>
        <v>0</v>
      </c>
      <c r="Z30" s="445">
        <f t="shared" si="75"/>
        <v>0</v>
      </c>
      <c r="AA30" s="445">
        <f t="shared" si="75"/>
        <v>0</v>
      </c>
      <c r="AB30" s="445">
        <f t="shared" si="75"/>
        <v>0</v>
      </c>
      <c r="AC30" s="445">
        <f t="shared" si="75"/>
        <v>0</v>
      </c>
      <c r="AD30" s="445">
        <f t="shared" si="75"/>
        <v>0</v>
      </c>
      <c r="AE30" s="445">
        <f t="shared" si="75"/>
        <v>0</v>
      </c>
      <c r="AF30" s="445">
        <f t="shared" si="75"/>
        <v>0</v>
      </c>
      <c r="AG30" s="445">
        <f t="shared" si="75"/>
        <v>0</v>
      </c>
      <c r="AH30" s="445">
        <f t="shared" si="75"/>
        <v>0</v>
      </c>
      <c r="AI30" s="445">
        <f t="shared" si="75"/>
        <v>0</v>
      </c>
      <c r="AJ30" s="445">
        <f t="shared" si="75"/>
        <v>0</v>
      </c>
      <c r="AK30" s="445">
        <f t="shared" ref="AK30" si="76">SUBTOTAL(9,AK31:AK33)</f>
        <v>0</v>
      </c>
      <c r="AL30" s="445">
        <f t="shared" ref="AL30" si="77">SUBTOTAL(9,AL31:AL33)</f>
        <v>0</v>
      </c>
      <c r="AM30" s="445">
        <f t="shared" ref="AM30" si="78">SUBTOTAL(9,AM31:AM33)</f>
        <v>0</v>
      </c>
      <c r="AN30" s="445">
        <f t="shared" ref="AN30" si="79">SUBTOTAL(9,AN31:AN33)</f>
        <v>0</v>
      </c>
      <c r="AO30" s="445">
        <f t="shared" ref="AO30" si="80">SUBTOTAL(9,AO31:AO33)</f>
        <v>0</v>
      </c>
      <c r="AP30" s="437"/>
      <c r="AQ30" s="36" t="s">
        <v>319</v>
      </c>
    </row>
    <row r="31" spans="1:43" outlineLevel="1">
      <c r="A31" s="15">
        <v>1</v>
      </c>
      <c r="B31" s="51" t="s">
        <v>407</v>
      </c>
      <c r="C31" s="18" t="s">
        <v>8</v>
      </c>
      <c r="D31" s="439">
        <f>356.1*20</f>
        <v>7122</v>
      </c>
      <c r="E31" s="436"/>
      <c r="F31" s="442"/>
      <c r="G31" s="442"/>
      <c r="H31" s="436"/>
      <c r="I31" s="436"/>
      <c r="J31" s="440"/>
      <c r="K31" s="436"/>
      <c r="L31" s="436"/>
      <c r="M31" s="440"/>
      <c r="N31" s="440"/>
      <c r="O31" s="440"/>
      <c r="P31" s="440"/>
      <c r="Q31" s="440"/>
      <c r="R31" s="440"/>
      <c r="S31" s="440"/>
      <c r="T31" s="436"/>
      <c r="U31" s="436"/>
      <c r="V31" s="436"/>
      <c r="W31" s="436"/>
      <c r="X31" s="444">
        <f t="shared" ref="X31:X34" si="81">$D31*E31</f>
        <v>0</v>
      </c>
      <c r="Y31" s="444">
        <f t="shared" ref="Y31:Y34" si="82">$D31*F31</f>
        <v>0</v>
      </c>
      <c r="Z31" s="444">
        <f t="shared" ref="Z31:Z34" si="83">$D31*G31</f>
        <v>0</v>
      </c>
      <c r="AA31" s="444">
        <f t="shared" ref="AA31:AA34" si="84">$D31*H31</f>
        <v>0</v>
      </c>
      <c r="AB31" s="444">
        <f t="shared" ref="AB31:AB34" si="85">$D31*I31</f>
        <v>0</v>
      </c>
      <c r="AC31" s="444">
        <f t="shared" ref="AC31:AC34" si="86">$D31*J31</f>
        <v>0</v>
      </c>
      <c r="AD31" s="444">
        <f t="shared" ref="AD31:AD34" si="87">$D31*K31</f>
        <v>0</v>
      </c>
      <c r="AE31" s="444">
        <f t="shared" ref="AE31:AE34" si="88">$D31*L31</f>
        <v>0</v>
      </c>
      <c r="AF31" s="444">
        <f t="shared" ref="AF31:AF34" si="89">$D31*M31</f>
        <v>0</v>
      </c>
      <c r="AG31" s="444">
        <f t="shared" ref="AG31:AG34" si="90">$D31*N31</f>
        <v>0</v>
      </c>
      <c r="AH31" s="444">
        <f t="shared" ref="AH31:AH34" si="91">$D31*O31</f>
        <v>0</v>
      </c>
      <c r="AI31" s="444">
        <f t="shared" ref="AI31:AI34" si="92">$D31*P31</f>
        <v>0</v>
      </c>
      <c r="AJ31" s="444">
        <f t="shared" ref="AJ31:AJ34" si="93">$D31*Q31</f>
        <v>0</v>
      </c>
      <c r="AK31" s="444">
        <f t="shared" ref="AK31:AK34" si="94">$D31*R31</f>
        <v>0</v>
      </c>
      <c r="AL31" s="444">
        <f t="shared" ref="AL31:AL34" si="95">$D31*S31</f>
        <v>0</v>
      </c>
      <c r="AM31" s="444">
        <f t="shared" ref="AM31:AM34" si="96">$D31*T31</f>
        <v>0</v>
      </c>
      <c r="AN31" s="444">
        <f t="shared" ref="AN31:AN34" si="97">$D31*U31</f>
        <v>0</v>
      </c>
      <c r="AO31" s="444">
        <f t="shared" ref="AO31:AO34" si="98">$D31*V31</f>
        <v>0</v>
      </c>
      <c r="AP31" s="436"/>
      <c r="AQ31" s="47" t="s">
        <v>319</v>
      </c>
    </row>
    <row r="32" spans="1:43" outlineLevel="1">
      <c r="A32" s="15">
        <v>2</v>
      </c>
      <c r="B32" s="51" t="s">
        <v>408</v>
      </c>
      <c r="C32" s="18" t="s">
        <v>8</v>
      </c>
      <c r="D32" s="439"/>
      <c r="E32" s="436"/>
      <c r="F32" s="442"/>
      <c r="G32" s="442"/>
      <c r="H32" s="436"/>
      <c r="I32" s="436"/>
      <c r="J32" s="440"/>
      <c r="K32" s="436"/>
      <c r="L32" s="436"/>
      <c r="M32" s="440"/>
      <c r="N32" s="440"/>
      <c r="O32" s="440"/>
      <c r="P32" s="440"/>
      <c r="Q32" s="440"/>
      <c r="R32" s="440"/>
      <c r="S32" s="440"/>
      <c r="T32" s="436"/>
      <c r="U32" s="436"/>
      <c r="V32" s="436"/>
      <c r="W32" s="436"/>
      <c r="X32" s="444">
        <f t="shared" si="81"/>
        <v>0</v>
      </c>
      <c r="Y32" s="444">
        <f t="shared" si="82"/>
        <v>0</v>
      </c>
      <c r="Z32" s="444">
        <f t="shared" si="83"/>
        <v>0</v>
      </c>
      <c r="AA32" s="444">
        <f t="shared" si="84"/>
        <v>0</v>
      </c>
      <c r="AB32" s="444">
        <f t="shared" si="85"/>
        <v>0</v>
      </c>
      <c r="AC32" s="444">
        <f t="shared" si="86"/>
        <v>0</v>
      </c>
      <c r="AD32" s="444">
        <f t="shared" si="87"/>
        <v>0</v>
      </c>
      <c r="AE32" s="444">
        <f t="shared" si="88"/>
        <v>0</v>
      </c>
      <c r="AF32" s="444">
        <f t="shared" si="89"/>
        <v>0</v>
      </c>
      <c r="AG32" s="444">
        <f t="shared" si="90"/>
        <v>0</v>
      </c>
      <c r="AH32" s="444">
        <f t="shared" si="91"/>
        <v>0</v>
      </c>
      <c r="AI32" s="444">
        <f t="shared" si="92"/>
        <v>0</v>
      </c>
      <c r="AJ32" s="444">
        <f t="shared" si="93"/>
        <v>0</v>
      </c>
      <c r="AK32" s="444">
        <f t="shared" si="94"/>
        <v>0</v>
      </c>
      <c r="AL32" s="444">
        <f t="shared" si="95"/>
        <v>0</v>
      </c>
      <c r="AM32" s="444">
        <f t="shared" si="96"/>
        <v>0</v>
      </c>
      <c r="AN32" s="444">
        <f t="shared" si="97"/>
        <v>0</v>
      </c>
      <c r="AO32" s="444">
        <f t="shared" si="98"/>
        <v>0</v>
      </c>
      <c r="AP32" s="436"/>
      <c r="AQ32" s="47" t="s">
        <v>410</v>
      </c>
    </row>
    <row r="33" spans="1:43" outlineLevel="1">
      <c r="A33" s="15">
        <v>3</v>
      </c>
      <c r="B33" s="51" t="s">
        <v>409</v>
      </c>
      <c r="C33" s="18" t="s">
        <v>8</v>
      </c>
      <c r="D33" s="439"/>
      <c r="E33" s="436"/>
      <c r="F33" s="442"/>
      <c r="G33" s="442"/>
      <c r="H33" s="436"/>
      <c r="I33" s="436"/>
      <c r="J33" s="440"/>
      <c r="K33" s="436"/>
      <c r="L33" s="436"/>
      <c r="M33" s="440"/>
      <c r="N33" s="440"/>
      <c r="O33" s="440"/>
      <c r="P33" s="440"/>
      <c r="Q33" s="440"/>
      <c r="R33" s="440"/>
      <c r="S33" s="440"/>
      <c r="T33" s="436"/>
      <c r="U33" s="436"/>
      <c r="V33" s="436"/>
      <c r="W33" s="436"/>
      <c r="X33" s="444">
        <f t="shared" si="81"/>
        <v>0</v>
      </c>
      <c r="Y33" s="444">
        <f t="shared" si="82"/>
        <v>0</v>
      </c>
      <c r="Z33" s="444">
        <f t="shared" si="83"/>
        <v>0</v>
      </c>
      <c r="AA33" s="444">
        <f t="shared" si="84"/>
        <v>0</v>
      </c>
      <c r="AB33" s="444">
        <f t="shared" si="85"/>
        <v>0</v>
      </c>
      <c r="AC33" s="444">
        <f t="shared" si="86"/>
        <v>0</v>
      </c>
      <c r="AD33" s="444">
        <f t="shared" si="87"/>
        <v>0</v>
      </c>
      <c r="AE33" s="444">
        <f t="shared" si="88"/>
        <v>0</v>
      </c>
      <c r="AF33" s="444">
        <f t="shared" si="89"/>
        <v>0</v>
      </c>
      <c r="AG33" s="444">
        <f t="shared" si="90"/>
        <v>0</v>
      </c>
      <c r="AH33" s="444">
        <f t="shared" si="91"/>
        <v>0</v>
      </c>
      <c r="AI33" s="444">
        <f t="shared" si="92"/>
        <v>0</v>
      </c>
      <c r="AJ33" s="444">
        <f t="shared" si="93"/>
        <v>0</v>
      </c>
      <c r="AK33" s="444">
        <f t="shared" si="94"/>
        <v>0</v>
      </c>
      <c r="AL33" s="444">
        <f t="shared" si="95"/>
        <v>0</v>
      </c>
      <c r="AM33" s="444">
        <f t="shared" si="96"/>
        <v>0</v>
      </c>
      <c r="AN33" s="444">
        <f t="shared" si="97"/>
        <v>0</v>
      </c>
      <c r="AO33" s="444">
        <f t="shared" si="98"/>
        <v>0</v>
      </c>
      <c r="AP33" s="436"/>
      <c r="AQ33" s="47" t="s">
        <v>411</v>
      </c>
    </row>
    <row r="34" spans="1:43" outlineLevel="1">
      <c r="A34" s="52"/>
      <c r="B34" s="269"/>
      <c r="C34" s="46"/>
      <c r="D34" s="439"/>
      <c r="E34" s="436"/>
      <c r="F34" s="442"/>
      <c r="G34" s="442"/>
      <c r="H34" s="436"/>
      <c r="I34" s="436"/>
      <c r="J34" s="440"/>
      <c r="K34" s="436"/>
      <c r="L34" s="436"/>
      <c r="M34" s="440"/>
      <c r="N34" s="440"/>
      <c r="O34" s="440"/>
      <c r="P34" s="440"/>
      <c r="Q34" s="440"/>
      <c r="R34" s="440"/>
      <c r="S34" s="440"/>
      <c r="T34" s="436"/>
      <c r="U34" s="436"/>
      <c r="V34" s="436"/>
      <c r="W34" s="436"/>
      <c r="X34" s="444">
        <f t="shared" si="81"/>
        <v>0</v>
      </c>
      <c r="Y34" s="444">
        <f t="shared" si="82"/>
        <v>0</v>
      </c>
      <c r="Z34" s="444">
        <f t="shared" si="83"/>
        <v>0</v>
      </c>
      <c r="AA34" s="444">
        <f t="shared" si="84"/>
        <v>0</v>
      </c>
      <c r="AB34" s="444">
        <f t="shared" si="85"/>
        <v>0</v>
      </c>
      <c r="AC34" s="444">
        <f t="shared" si="86"/>
        <v>0</v>
      </c>
      <c r="AD34" s="444">
        <f t="shared" si="87"/>
        <v>0</v>
      </c>
      <c r="AE34" s="444">
        <f t="shared" si="88"/>
        <v>0</v>
      </c>
      <c r="AF34" s="444">
        <f t="shared" si="89"/>
        <v>0</v>
      </c>
      <c r="AG34" s="444">
        <f t="shared" si="90"/>
        <v>0</v>
      </c>
      <c r="AH34" s="444">
        <f t="shared" si="91"/>
        <v>0</v>
      </c>
      <c r="AI34" s="444">
        <f t="shared" si="92"/>
        <v>0</v>
      </c>
      <c r="AJ34" s="444">
        <f t="shared" si="93"/>
        <v>0</v>
      </c>
      <c r="AK34" s="444">
        <f t="shared" si="94"/>
        <v>0</v>
      </c>
      <c r="AL34" s="444">
        <f t="shared" si="95"/>
        <v>0</v>
      </c>
      <c r="AM34" s="444">
        <f t="shared" si="96"/>
        <v>0</v>
      </c>
      <c r="AN34" s="444">
        <f t="shared" si="97"/>
        <v>0</v>
      </c>
      <c r="AO34" s="444">
        <f t="shared" si="98"/>
        <v>0</v>
      </c>
      <c r="AP34" s="436"/>
      <c r="AQ34" s="47"/>
    </row>
    <row r="35" spans="1:43" s="462" customFormat="1" ht="16.5" customHeight="1">
      <c r="A35" s="456"/>
      <c r="B35" s="457" t="s">
        <v>463</v>
      </c>
      <c r="C35" s="458"/>
      <c r="D35" s="459"/>
      <c r="E35" s="460"/>
      <c r="F35" s="460"/>
      <c r="G35" s="460"/>
      <c r="H35" s="460"/>
      <c r="I35" s="460"/>
      <c r="J35" s="460"/>
      <c r="K35" s="460"/>
      <c r="L35" s="460"/>
      <c r="M35" s="460"/>
      <c r="N35" s="460"/>
      <c r="O35" s="460"/>
      <c r="P35" s="460"/>
      <c r="Q35" s="460"/>
      <c r="R35" s="460"/>
      <c r="S35" s="460"/>
      <c r="T35" s="460"/>
      <c r="U35" s="460"/>
      <c r="V35" s="460"/>
      <c r="W35" s="460"/>
      <c r="X35" s="461">
        <f t="shared" ref="X35:AC35" si="99">SUBTOTAL(9,X7:X34)</f>
        <v>5.0496500000000006</v>
      </c>
      <c r="Y35" s="461">
        <f t="shared" si="99"/>
        <v>379303.05534247786</v>
      </c>
      <c r="Z35" s="461">
        <f t="shared" si="99"/>
        <v>117729.23019452435</v>
      </c>
      <c r="AA35" s="461">
        <f t="shared" si="99"/>
        <v>302.17868658616067</v>
      </c>
      <c r="AB35" s="461">
        <f t="shared" si="99"/>
        <v>3186.7766535200003</v>
      </c>
      <c r="AC35" s="461">
        <f t="shared" si="99"/>
        <v>872306.7185227623</v>
      </c>
      <c r="AD35" s="461">
        <f>SUBTOTAL(9,AD7:AD34)</f>
        <v>24337.881539999998</v>
      </c>
      <c r="AE35" s="461">
        <f t="shared" ref="AE35:AO35" si="100">SUBTOTAL(9,AE7:AE34)</f>
        <v>3698.2442849999993</v>
      </c>
      <c r="AF35" s="461">
        <f t="shared" si="100"/>
        <v>112752.84013888887</v>
      </c>
      <c r="AG35" s="461">
        <f t="shared" si="100"/>
        <v>2356.7250000000004</v>
      </c>
      <c r="AH35" s="461">
        <f t="shared" si="100"/>
        <v>15621.781111111119</v>
      </c>
      <c r="AI35" s="461">
        <f t="shared" si="100"/>
        <v>484.54750000000007</v>
      </c>
      <c r="AJ35" s="461">
        <f t="shared" si="100"/>
        <v>225.28611111111113</v>
      </c>
      <c r="AK35" s="461">
        <f t="shared" si="100"/>
        <v>20184.733333333337</v>
      </c>
      <c r="AL35" s="461">
        <f t="shared" si="100"/>
        <v>3860.4444444444448</v>
      </c>
      <c r="AM35" s="461">
        <f t="shared" si="100"/>
        <v>0</v>
      </c>
      <c r="AN35" s="461">
        <f t="shared" si="100"/>
        <v>0</v>
      </c>
      <c r="AO35" s="461">
        <f t="shared" si="100"/>
        <v>0</v>
      </c>
      <c r="AP35" s="460"/>
      <c r="AQ35" s="461"/>
    </row>
    <row r="36" spans="1:43" s="455" customFormat="1" ht="16.5" customHeight="1">
      <c r="A36" s="450"/>
      <c r="B36" s="451" t="s">
        <v>462</v>
      </c>
      <c r="C36" s="7"/>
      <c r="D36" s="452"/>
      <c r="E36" s="453"/>
      <c r="F36" s="453"/>
      <c r="G36" s="453"/>
      <c r="H36" s="453"/>
      <c r="I36" s="453"/>
      <c r="J36" s="453"/>
      <c r="K36" s="453"/>
      <c r="L36" s="453"/>
      <c r="M36" s="453"/>
      <c r="N36" s="453"/>
      <c r="O36" s="453"/>
      <c r="P36" s="453"/>
      <c r="Q36" s="453"/>
      <c r="R36" s="453"/>
      <c r="S36" s="453"/>
      <c r="T36" s="453"/>
      <c r="U36" s="453"/>
      <c r="V36" s="453"/>
      <c r="W36" s="453"/>
      <c r="X36" s="454">
        <v>3</v>
      </c>
      <c r="Y36" s="454">
        <f>274500+3300</f>
        <v>277800</v>
      </c>
      <c r="Z36" s="454">
        <v>108000</v>
      </c>
      <c r="AA36" s="454">
        <v>298</v>
      </c>
      <c r="AB36" s="454">
        <v>1917</v>
      </c>
      <c r="AC36" s="454">
        <f>10780*50</f>
        <v>539000</v>
      </c>
      <c r="AD36" s="454">
        <v>2500</v>
      </c>
      <c r="AE36" s="454">
        <v>500</v>
      </c>
      <c r="AF36" s="454">
        <f>1554*8</f>
        <v>12432</v>
      </c>
      <c r="AG36" s="454">
        <v>22</v>
      </c>
      <c r="AH36" s="454">
        <f>986*4</f>
        <v>3944</v>
      </c>
      <c r="AI36" s="454"/>
      <c r="AJ36" s="454"/>
      <c r="AK36" s="454">
        <f>1835*11</f>
        <v>20185</v>
      </c>
      <c r="AL36" s="454">
        <f>220*11</f>
        <v>2420</v>
      </c>
      <c r="AM36" s="454">
        <v>60</v>
      </c>
      <c r="AN36" s="454">
        <v>197</v>
      </c>
      <c r="AO36" s="454">
        <v>5</v>
      </c>
      <c r="AP36" s="453"/>
      <c r="AQ36" s="454"/>
    </row>
    <row r="37" spans="1:43" s="359" customFormat="1">
      <c r="A37" s="463"/>
      <c r="B37" s="464" t="s">
        <v>461</v>
      </c>
      <c r="C37" s="465"/>
      <c r="D37" s="466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7"/>
      <c r="T37" s="467"/>
      <c r="U37" s="467"/>
      <c r="V37" s="467"/>
      <c r="W37" s="467"/>
      <c r="X37" s="468">
        <f>X35-X36</f>
        <v>2.0496500000000006</v>
      </c>
      <c r="Y37" s="468">
        <f t="shared" ref="Y37:AO37" si="101">Y35-Y36</f>
        <v>101503.05534247786</v>
      </c>
      <c r="Z37" s="468">
        <f t="shared" si="101"/>
        <v>9729.2301945243526</v>
      </c>
      <c r="AA37" s="468">
        <f t="shared" si="101"/>
        <v>4.1786865861606657</v>
      </c>
      <c r="AB37" s="468">
        <f t="shared" si="101"/>
        <v>1269.7766535200003</v>
      </c>
      <c r="AC37" s="468">
        <f t="shared" si="101"/>
        <v>333306.7185227623</v>
      </c>
      <c r="AD37" s="468">
        <f t="shared" si="101"/>
        <v>21837.881539999998</v>
      </c>
      <c r="AE37" s="468">
        <f t="shared" si="101"/>
        <v>3198.2442849999993</v>
      </c>
      <c r="AF37" s="468">
        <f t="shared" si="101"/>
        <v>100320.84013888887</v>
      </c>
      <c r="AG37" s="468">
        <f t="shared" si="101"/>
        <v>2334.7250000000004</v>
      </c>
      <c r="AH37" s="468">
        <f t="shared" si="101"/>
        <v>11677.781111111119</v>
      </c>
      <c r="AI37" s="468">
        <f t="shared" si="101"/>
        <v>484.54750000000007</v>
      </c>
      <c r="AJ37" s="468">
        <f t="shared" si="101"/>
        <v>225.28611111111113</v>
      </c>
      <c r="AK37" s="468">
        <f t="shared" si="101"/>
        <v>-0.26666666666278616</v>
      </c>
      <c r="AL37" s="468">
        <f t="shared" si="101"/>
        <v>1440.4444444444448</v>
      </c>
      <c r="AM37" s="468">
        <f t="shared" si="101"/>
        <v>-60</v>
      </c>
      <c r="AN37" s="468">
        <f t="shared" si="101"/>
        <v>-197</v>
      </c>
      <c r="AO37" s="468">
        <f t="shared" si="101"/>
        <v>-5</v>
      </c>
      <c r="AP37" s="467"/>
      <c r="AQ37" s="468"/>
    </row>
  </sheetData>
  <mergeCells count="8">
    <mergeCell ref="D3:D4"/>
    <mergeCell ref="W3:W4"/>
    <mergeCell ref="AQ3:AQ4"/>
    <mergeCell ref="A1:V1"/>
    <mergeCell ref="A3:A4"/>
    <mergeCell ref="B3:B4"/>
    <mergeCell ref="C3:C4"/>
    <mergeCell ref="AP3:AP4"/>
  </mergeCells>
  <pageMargins left="0.7" right="0.7" top="0.75" bottom="0.75" header="0.3" footer="0.3"/>
  <pageSetup paperSize="9"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S35"/>
  <sheetViews>
    <sheetView topLeftCell="A10" workbookViewId="0">
      <selection activeCell="C29" sqref="C29"/>
    </sheetView>
  </sheetViews>
  <sheetFormatPr defaultRowHeight="15" outlineLevelCol="1"/>
  <cols>
    <col min="1" max="1" width="4" style="361" bestFit="1" customWidth="1"/>
    <col min="2" max="2" width="28.5703125" style="361" customWidth="1"/>
    <col min="3" max="3" width="9" style="361" customWidth="1"/>
    <col min="4" max="4" width="9.42578125" style="361" customWidth="1"/>
    <col min="5" max="5" width="10.140625" style="435" bestFit="1" customWidth="1" collapsed="1"/>
    <col min="6" max="7" width="9.5703125" style="435" bestFit="1" customWidth="1"/>
    <col min="8" max="8" width="8.28515625" style="435" bestFit="1" customWidth="1" collapsed="1"/>
    <col min="9" max="9" width="5.85546875" style="435" hidden="1" customWidth="1" outlineLevel="1"/>
    <col min="10" max="10" width="6.5703125" style="435" hidden="1" customWidth="1" outlineLevel="1"/>
    <col min="11" max="11" width="7.7109375" style="435" hidden="1" customWidth="1" outlineLevel="1" collapsed="1"/>
    <col min="12" max="12" width="8.7109375" style="435" hidden="1" customWidth="1" outlineLevel="1"/>
    <col min="13" max="13" width="7.7109375" style="435" hidden="1" customWidth="1" outlineLevel="1"/>
    <col min="14" max="14" width="5.85546875" style="435" bestFit="1" customWidth="1" collapsed="1"/>
    <col min="15" max="15" width="6.5703125" style="435" bestFit="1" customWidth="1"/>
    <col min="16" max="17" width="7.7109375" style="361" bestFit="1" customWidth="1"/>
    <col min="18" max="18" width="7.28515625" style="361" bestFit="1" customWidth="1"/>
    <col min="19" max="16384" width="9.140625" style="361"/>
  </cols>
  <sheetData>
    <row r="1" spans="1:18" ht="20.25">
      <c r="A1" s="528" t="s">
        <v>415</v>
      </c>
      <c r="B1" s="528"/>
      <c r="C1" s="528"/>
      <c r="D1" s="528"/>
      <c r="E1" s="528"/>
      <c r="F1" s="528"/>
      <c r="G1" s="528"/>
      <c r="H1" s="528"/>
      <c r="I1" s="528"/>
      <c r="J1" s="528"/>
      <c r="K1" s="528"/>
      <c r="L1" s="528"/>
      <c r="M1" s="528"/>
      <c r="N1" s="360"/>
      <c r="O1" s="360"/>
    </row>
    <row r="2" spans="1:18" ht="15.75">
      <c r="A2" s="529" t="s">
        <v>416</v>
      </c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362"/>
      <c r="O2" s="362"/>
    </row>
    <row r="3" spans="1:18" ht="15.75">
      <c r="A3" s="362"/>
      <c r="B3" s="362"/>
      <c r="C3" s="362"/>
      <c r="D3" s="362"/>
      <c r="E3" s="362"/>
      <c r="F3" s="362"/>
      <c r="G3" s="362"/>
      <c r="H3" s="362"/>
      <c r="I3" s="362"/>
      <c r="J3" s="362"/>
      <c r="K3" s="361"/>
      <c r="L3" s="361"/>
      <c r="M3" s="361"/>
      <c r="N3" s="361"/>
      <c r="O3" s="361"/>
    </row>
    <row r="4" spans="1:18" ht="15.75">
      <c r="A4" s="363"/>
      <c r="B4" s="363"/>
      <c r="C4" s="363"/>
      <c r="D4" s="363"/>
      <c r="E4" s="363"/>
      <c r="F4" s="363"/>
      <c r="G4" s="363"/>
      <c r="H4" s="363"/>
      <c r="I4" s="364">
        <f t="shared" ref="I4:J4" si="0">0.6*0.6</f>
        <v>0.36</v>
      </c>
      <c r="J4" s="364">
        <f t="shared" si="0"/>
        <v>0.36</v>
      </c>
      <c r="K4" s="364">
        <f>0.6*0.6</f>
        <v>0.36</v>
      </c>
      <c r="L4" s="364">
        <f>0.3*0.6</f>
        <v>0.18</v>
      </c>
      <c r="M4" s="364">
        <f>0.3*0.3</f>
        <v>0.09</v>
      </c>
      <c r="N4" s="364">
        <v>4</v>
      </c>
      <c r="O4" s="364">
        <v>4</v>
      </c>
      <c r="P4" s="364">
        <v>4</v>
      </c>
      <c r="Q4" s="364">
        <v>8</v>
      </c>
      <c r="R4" s="364">
        <v>11</v>
      </c>
    </row>
    <row r="5" spans="1:18" s="367" customFormat="1" ht="16.5">
      <c r="A5" s="365"/>
      <c r="B5" s="366"/>
      <c r="C5" s="530" t="s">
        <v>417</v>
      </c>
      <c r="D5" s="530"/>
      <c r="E5" s="530"/>
      <c r="F5" s="530"/>
      <c r="G5" s="530"/>
      <c r="H5" s="530"/>
      <c r="I5" s="531" t="s">
        <v>418</v>
      </c>
      <c r="J5" s="532"/>
      <c r="K5" s="532"/>
      <c r="L5" s="532"/>
      <c r="M5" s="533"/>
      <c r="N5" s="534" t="s">
        <v>419</v>
      </c>
      <c r="O5" s="535"/>
      <c r="P5" s="535"/>
      <c r="Q5" s="535"/>
      <c r="R5" s="536"/>
    </row>
    <row r="6" spans="1:18" s="378" customFormat="1" ht="33">
      <c r="A6" s="368" t="s">
        <v>420</v>
      </c>
      <c r="B6" s="369" t="s">
        <v>421</v>
      </c>
      <c r="C6" s="370" t="s">
        <v>422</v>
      </c>
      <c r="D6" s="371" t="s">
        <v>423</v>
      </c>
      <c r="E6" s="372" t="s">
        <v>161</v>
      </c>
      <c r="F6" s="372" t="s">
        <v>424</v>
      </c>
      <c r="G6" s="372" t="s">
        <v>425</v>
      </c>
      <c r="H6" s="372" t="s">
        <v>426</v>
      </c>
      <c r="I6" s="373" t="s">
        <v>422</v>
      </c>
      <c r="J6" s="374" t="s">
        <v>423</v>
      </c>
      <c r="K6" s="375" t="s">
        <v>427</v>
      </c>
      <c r="L6" s="375" t="s">
        <v>428</v>
      </c>
      <c r="M6" s="375" t="s">
        <v>429</v>
      </c>
      <c r="N6" s="376" t="s">
        <v>422</v>
      </c>
      <c r="O6" s="377" t="s">
        <v>423</v>
      </c>
      <c r="P6" s="376" t="s">
        <v>427</v>
      </c>
      <c r="Q6" s="376" t="s">
        <v>428</v>
      </c>
      <c r="R6" s="376" t="s">
        <v>429</v>
      </c>
    </row>
    <row r="7" spans="1:18" s="384" customFormat="1">
      <c r="A7" s="379"/>
      <c r="B7" s="380"/>
      <c r="C7" s="381" t="s">
        <v>430</v>
      </c>
      <c r="D7" s="381" t="s">
        <v>430</v>
      </c>
      <c r="E7" s="381" t="s">
        <v>430</v>
      </c>
      <c r="F7" s="381" t="s">
        <v>430</v>
      </c>
      <c r="G7" s="381" t="s">
        <v>430</v>
      </c>
      <c r="H7" s="381" t="s">
        <v>430</v>
      </c>
      <c r="I7" s="382" t="s">
        <v>431</v>
      </c>
      <c r="J7" s="382" t="s">
        <v>431</v>
      </c>
      <c r="K7" s="382" t="s">
        <v>431</v>
      </c>
      <c r="L7" s="382" t="s">
        <v>431</v>
      </c>
      <c r="M7" s="382" t="s">
        <v>431</v>
      </c>
      <c r="N7" s="383" t="s">
        <v>432</v>
      </c>
      <c r="O7" s="383" t="s">
        <v>432</v>
      </c>
      <c r="P7" s="383" t="s">
        <v>432</v>
      </c>
      <c r="Q7" s="383" t="s">
        <v>433</v>
      </c>
      <c r="R7" s="383" t="s">
        <v>434</v>
      </c>
    </row>
    <row r="8" spans="1:18" s="390" customFormat="1" ht="15.75">
      <c r="A8" s="385"/>
      <c r="B8" s="386" t="s">
        <v>435</v>
      </c>
      <c r="C8" s="387">
        <f>SUM(C9:C11)</f>
        <v>80.3</v>
      </c>
      <c r="D8" s="387">
        <f t="shared" ref="D8:R8" si="1">SUM(D9:D11)</f>
        <v>172.71</v>
      </c>
      <c r="E8" s="387">
        <f t="shared" si="1"/>
        <v>5460.0400000000018</v>
      </c>
      <c r="F8" s="387">
        <f t="shared" si="1"/>
        <v>3634.9000000000019</v>
      </c>
      <c r="G8" s="387">
        <f t="shared" si="1"/>
        <v>15763.394499999993</v>
      </c>
      <c r="H8" s="387">
        <f t="shared" si="1"/>
        <v>211.05000000000004</v>
      </c>
      <c r="I8" s="388">
        <f t="shared" si="1"/>
        <v>223.05555555555554</v>
      </c>
      <c r="J8" s="388">
        <f t="shared" si="1"/>
        <v>479.75000000000006</v>
      </c>
      <c r="K8" s="388">
        <f t="shared" si="1"/>
        <v>15166.777777777785</v>
      </c>
      <c r="L8" s="388">
        <f t="shared" si="1"/>
        <v>107768.30277777775</v>
      </c>
      <c r="M8" s="388">
        <f t="shared" si="1"/>
        <v>2345.0000000000005</v>
      </c>
      <c r="N8" s="389">
        <f t="shared" si="1"/>
        <v>55.763888888888886</v>
      </c>
      <c r="O8" s="389">
        <f t="shared" si="1"/>
        <v>119.93750000000001</v>
      </c>
      <c r="P8" s="389">
        <f t="shared" si="1"/>
        <v>3791.6944444444462</v>
      </c>
      <c r="Q8" s="389">
        <f t="shared" si="1"/>
        <v>13471.037847222218</v>
      </c>
      <c r="R8" s="389">
        <f t="shared" si="1"/>
        <v>213.18181818181822</v>
      </c>
    </row>
    <row r="9" spans="1:18" s="398" customFormat="1" ht="16.5">
      <c r="A9" s="391"/>
      <c r="B9" s="392" t="s">
        <v>436</v>
      </c>
      <c r="C9" s="393"/>
      <c r="D9" s="393"/>
      <c r="E9" s="393"/>
      <c r="F9" s="394"/>
      <c r="G9" s="394"/>
      <c r="H9" s="393"/>
      <c r="I9" s="395"/>
      <c r="J9" s="395"/>
      <c r="K9" s="396">
        <f>E9/K$4</f>
        <v>0</v>
      </c>
      <c r="L9" s="396">
        <f t="shared" ref="L9:M11" si="2">G9/L$4</f>
        <v>0</v>
      </c>
      <c r="M9" s="396">
        <f t="shared" si="2"/>
        <v>0</v>
      </c>
      <c r="N9" s="397"/>
      <c r="O9" s="397"/>
      <c r="P9" s="397">
        <f>K9/4</f>
        <v>0</v>
      </c>
      <c r="Q9" s="397">
        <f>L9/8</f>
        <v>0</v>
      </c>
      <c r="R9" s="397">
        <f>M9/11</f>
        <v>0</v>
      </c>
    </row>
    <row r="10" spans="1:18" s="398" customFormat="1" ht="16.5">
      <c r="A10" s="391"/>
      <c r="B10" s="392" t="s">
        <v>437</v>
      </c>
      <c r="C10" s="393"/>
      <c r="D10" s="393"/>
      <c r="E10" s="393">
        <f>'[2]OP-LAT TANG 20-39'!G11</f>
        <v>5151.5000000000018</v>
      </c>
      <c r="F10" s="394">
        <f>'[2]OP-LAT TANG 20-39'!H11</f>
        <v>3326.3600000000019</v>
      </c>
      <c r="G10" s="394">
        <f>'[2]OP-LAT TANG 20-39'!I11</f>
        <v>14625.222499999993</v>
      </c>
      <c r="H10" s="393">
        <f>'[2]OP-LAT TANG 20-39'!J11</f>
        <v>197.01000000000005</v>
      </c>
      <c r="I10" s="395"/>
      <c r="J10" s="395"/>
      <c r="K10" s="396">
        <f>E10/K$4</f>
        <v>14309.722222222228</v>
      </c>
      <c r="L10" s="396">
        <f>(G10+F10)/L$4</f>
        <v>99731.013888888861</v>
      </c>
      <c r="M10" s="396">
        <f t="shared" si="2"/>
        <v>2189.0000000000005</v>
      </c>
      <c r="N10" s="397"/>
      <c r="O10" s="397"/>
      <c r="P10" s="397">
        <f>K10/4</f>
        <v>3577.430555555557</v>
      </c>
      <c r="Q10" s="397">
        <f>L10/8</f>
        <v>12466.376736111108</v>
      </c>
      <c r="R10" s="397">
        <f>M10/11</f>
        <v>199.00000000000003</v>
      </c>
    </row>
    <row r="11" spans="1:18" s="398" customFormat="1" ht="16.5">
      <c r="A11" s="391"/>
      <c r="B11" s="392" t="s">
        <v>438</v>
      </c>
      <c r="C11" s="393">
        <f>'[2]OP-LAT TANG 40-41'!G11</f>
        <v>80.3</v>
      </c>
      <c r="D11" s="393">
        <f>'[2]OP-LAT TANG 40-41'!H11</f>
        <v>172.71</v>
      </c>
      <c r="E11" s="393">
        <f>'[2]OP-LAT TANG 40-41'!I11</f>
        <v>308.54000000000002</v>
      </c>
      <c r="F11" s="393">
        <f>'[2]OP-LAT TANG 40-41'!I11</f>
        <v>308.54000000000002</v>
      </c>
      <c r="G11" s="393">
        <f>'[2]OP-LAT TANG 40-41'!K11</f>
        <v>1138.1719999999998</v>
      </c>
      <c r="H11" s="393">
        <f>'[2]OP-LAT TANG 40-41'!L11</f>
        <v>14.039999999999996</v>
      </c>
      <c r="I11" s="396">
        <f>C11/I$4</f>
        <v>223.05555555555554</v>
      </c>
      <c r="J11" s="396">
        <f>D11/J$4</f>
        <v>479.75000000000006</v>
      </c>
      <c r="K11" s="396">
        <f>E11/K$4</f>
        <v>857.05555555555566</v>
      </c>
      <c r="L11" s="396">
        <f>(G11+F11)/L$4</f>
        <v>8037.2888888888874</v>
      </c>
      <c r="M11" s="396">
        <f t="shared" si="2"/>
        <v>155.99999999999994</v>
      </c>
      <c r="N11" s="397">
        <f t="shared" ref="N11:O11" si="3">I11/4</f>
        <v>55.763888888888886</v>
      </c>
      <c r="O11" s="397">
        <f t="shared" si="3"/>
        <v>119.93750000000001</v>
      </c>
      <c r="P11" s="397">
        <f>K11/4</f>
        <v>214.26388888888891</v>
      </c>
      <c r="Q11" s="397">
        <f>L11/8</f>
        <v>1004.6611111111109</v>
      </c>
      <c r="R11" s="397">
        <f>M11/11</f>
        <v>14.181818181818176</v>
      </c>
    </row>
    <row r="12" spans="1:18" s="403" customFormat="1" ht="25.5">
      <c r="A12" s="381"/>
      <c r="B12" s="399" t="s">
        <v>439</v>
      </c>
      <c r="C12" s="400" t="s">
        <v>440</v>
      </c>
      <c r="D12" s="400" t="s">
        <v>440</v>
      </c>
      <c r="E12" s="400" t="s">
        <v>440</v>
      </c>
      <c r="F12" s="400" t="s">
        <v>440</v>
      </c>
      <c r="G12" s="400" t="s">
        <v>441</v>
      </c>
      <c r="H12" s="400" t="s">
        <v>440</v>
      </c>
      <c r="I12" s="401"/>
      <c r="J12" s="401"/>
      <c r="K12" s="401"/>
      <c r="L12" s="401"/>
      <c r="M12" s="401"/>
      <c r="N12" s="402"/>
      <c r="O12" s="402"/>
      <c r="P12" s="402"/>
      <c r="Q12" s="402"/>
      <c r="R12" s="402"/>
    </row>
    <row r="13" spans="1:18" s="403" customFormat="1" ht="16.5">
      <c r="A13" s="381"/>
      <c r="B13" s="404" t="s">
        <v>442</v>
      </c>
      <c r="C13" s="405">
        <v>1.01</v>
      </c>
      <c r="D13" s="405">
        <v>1.01</v>
      </c>
      <c r="E13" s="405">
        <v>1.03</v>
      </c>
      <c r="F13" s="405">
        <v>1.03</v>
      </c>
      <c r="G13" s="405">
        <v>1.05</v>
      </c>
      <c r="H13" s="405">
        <v>1.0049999999999999</v>
      </c>
      <c r="I13" s="401"/>
      <c r="J13" s="401"/>
      <c r="K13" s="401"/>
      <c r="L13" s="401"/>
      <c r="M13" s="401"/>
      <c r="N13" s="402"/>
      <c r="O13" s="402"/>
      <c r="P13" s="402"/>
      <c r="Q13" s="402"/>
      <c r="R13" s="402"/>
    </row>
    <row r="14" spans="1:18" s="403" customFormat="1" ht="16.5">
      <c r="A14" s="381"/>
      <c r="B14" s="404" t="s">
        <v>443</v>
      </c>
      <c r="C14" s="406">
        <f>0.9*5</f>
        <v>4.5</v>
      </c>
      <c r="D14" s="406">
        <f>0.9*5</f>
        <v>4.5</v>
      </c>
      <c r="E14" s="406">
        <f>0.9*5</f>
        <v>4.5</v>
      </c>
      <c r="F14" s="406">
        <f>0.8*5</f>
        <v>4</v>
      </c>
      <c r="G14" s="406">
        <f>0.8*3</f>
        <v>2.4000000000000004</v>
      </c>
      <c r="H14" s="406">
        <f>0.8*5</f>
        <v>4</v>
      </c>
      <c r="I14" s="401"/>
      <c r="J14" s="401"/>
      <c r="K14" s="401"/>
      <c r="L14" s="401"/>
      <c r="M14" s="401"/>
      <c r="N14" s="402"/>
      <c r="O14" s="402"/>
      <c r="P14" s="402"/>
      <c r="Q14" s="402"/>
      <c r="R14" s="402"/>
    </row>
    <row r="15" spans="1:18" s="403" customFormat="1" ht="16.5">
      <c r="A15" s="381"/>
      <c r="B15" s="404" t="s">
        <v>444</v>
      </c>
      <c r="C15" s="406">
        <f>C14*0.3</f>
        <v>1.3499999999999999</v>
      </c>
      <c r="D15" s="406">
        <f>D14*0.3</f>
        <v>1.3499999999999999</v>
      </c>
      <c r="E15" s="406">
        <f>E14*0.3</f>
        <v>1.3499999999999999</v>
      </c>
      <c r="F15" s="406">
        <f t="shared" ref="F15:H15" si="4">F14*0.3</f>
        <v>1.2</v>
      </c>
      <c r="G15" s="406">
        <f t="shared" si="4"/>
        <v>0.72000000000000008</v>
      </c>
      <c r="H15" s="406">
        <f t="shared" si="4"/>
        <v>1.2</v>
      </c>
      <c r="I15" s="401"/>
      <c r="J15" s="401"/>
      <c r="K15" s="401"/>
      <c r="L15" s="401"/>
      <c r="M15" s="401"/>
      <c r="N15" s="402"/>
      <c r="O15" s="402"/>
      <c r="P15" s="402"/>
      <c r="Q15" s="402"/>
      <c r="R15" s="402"/>
    </row>
    <row r="16" spans="1:18" s="403" customFormat="1" ht="16.5">
      <c r="A16" s="381"/>
      <c r="B16" s="404" t="s">
        <v>445</v>
      </c>
      <c r="C16" s="406">
        <v>0.12</v>
      </c>
      <c r="D16" s="406">
        <v>0.12</v>
      </c>
      <c r="E16" s="406">
        <v>0.12</v>
      </c>
      <c r="F16" s="406">
        <v>0.14000000000000001</v>
      </c>
      <c r="G16" s="406">
        <v>0.14000000000000001</v>
      </c>
      <c r="H16" s="406">
        <v>2</v>
      </c>
      <c r="I16" s="401"/>
      <c r="J16" s="401"/>
      <c r="K16" s="401"/>
      <c r="L16" s="401"/>
      <c r="M16" s="401"/>
      <c r="N16" s="402"/>
      <c r="O16" s="402"/>
      <c r="P16" s="402"/>
      <c r="Q16" s="402"/>
      <c r="R16" s="402"/>
    </row>
    <row r="17" spans="1:19" s="403" customFormat="1" ht="15.75">
      <c r="A17" s="407"/>
      <c r="B17" s="408" t="s">
        <v>446</v>
      </c>
      <c r="C17" s="409"/>
      <c r="D17" s="409"/>
      <c r="E17" s="409"/>
      <c r="F17" s="409"/>
      <c r="G17" s="409"/>
      <c r="H17" s="409"/>
      <c r="I17" s="401"/>
      <c r="J17" s="401"/>
      <c r="K17" s="401"/>
      <c r="L17" s="401"/>
      <c r="M17" s="401"/>
      <c r="N17" s="402"/>
      <c r="O17" s="402"/>
      <c r="P17" s="402"/>
      <c r="Q17" s="402"/>
      <c r="R17" s="402"/>
    </row>
    <row r="18" spans="1:19" s="403" customFormat="1" ht="16.5">
      <c r="A18" s="407"/>
      <c r="B18" s="410" t="s">
        <v>442</v>
      </c>
      <c r="C18" s="411">
        <f>C$8*C13</f>
        <v>81.102999999999994</v>
      </c>
      <c r="D18" s="411">
        <f t="shared" ref="D18:H18" si="5">D$8*D13</f>
        <v>174.43710000000002</v>
      </c>
      <c r="E18" s="411">
        <f t="shared" si="5"/>
        <v>5623.8412000000017</v>
      </c>
      <c r="F18" s="411">
        <f t="shared" si="5"/>
        <v>3743.9470000000019</v>
      </c>
      <c r="G18" s="411">
        <f t="shared" si="5"/>
        <v>16551.564224999995</v>
      </c>
      <c r="H18" s="411">
        <f t="shared" si="5"/>
        <v>212.10525000000001</v>
      </c>
      <c r="I18" s="401"/>
      <c r="J18" s="401"/>
      <c r="K18" s="401"/>
      <c r="L18" s="401"/>
      <c r="M18" s="401"/>
      <c r="N18" s="412">
        <f>N$8*C13</f>
        <v>56.321527777777774</v>
      </c>
      <c r="O18" s="412">
        <f t="shared" ref="O18:R18" si="6">O$8*D13</f>
        <v>121.13687500000002</v>
      </c>
      <c r="P18" s="412">
        <f t="shared" si="6"/>
        <v>3905.4452777777797</v>
      </c>
      <c r="Q18" s="412">
        <f t="shared" si="6"/>
        <v>13875.168982638885</v>
      </c>
      <c r="R18" s="412">
        <f t="shared" si="6"/>
        <v>223.84090909090912</v>
      </c>
    </row>
    <row r="19" spans="1:19" s="403" customFormat="1" ht="16.5">
      <c r="A19" s="407"/>
      <c r="B19" s="410" t="s">
        <v>443</v>
      </c>
      <c r="C19" s="411">
        <f t="shared" ref="C19:H21" si="7">C$8*C14</f>
        <v>361.34999999999997</v>
      </c>
      <c r="D19" s="411">
        <f t="shared" si="7"/>
        <v>777.19500000000005</v>
      </c>
      <c r="E19" s="411">
        <f t="shared" si="7"/>
        <v>24570.180000000008</v>
      </c>
      <c r="F19" s="411">
        <f t="shared" si="7"/>
        <v>14539.600000000008</v>
      </c>
      <c r="G19" s="411">
        <f t="shared" si="7"/>
        <v>37832.146799999988</v>
      </c>
      <c r="H19" s="411">
        <f t="shared" si="7"/>
        <v>844.20000000000016</v>
      </c>
      <c r="I19" s="401"/>
      <c r="J19" s="401"/>
      <c r="K19" s="401"/>
      <c r="L19" s="401"/>
      <c r="M19" s="401"/>
      <c r="N19" s="402"/>
      <c r="O19" s="402"/>
      <c r="P19" s="402"/>
      <c r="Q19" s="402"/>
      <c r="R19" s="402"/>
    </row>
    <row r="20" spans="1:19" s="403" customFormat="1" ht="16.5">
      <c r="A20" s="407"/>
      <c r="B20" s="410" t="s">
        <v>447</v>
      </c>
      <c r="C20" s="411">
        <f t="shared" si="7"/>
        <v>108.40499999999999</v>
      </c>
      <c r="D20" s="411">
        <f t="shared" si="7"/>
        <v>233.15849999999998</v>
      </c>
      <c r="E20" s="411">
        <f t="shared" si="7"/>
        <v>7371.0540000000019</v>
      </c>
      <c r="F20" s="411">
        <f t="shared" si="7"/>
        <v>4361.8800000000019</v>
      </c>
      <c r="G20" s="411">
        <f t="shared" si="7"/>
        <v>11349.644039999996</v>
      </c>
      <c r="H20" s="411">
        <f t="shared" si="7"/>
        <v>253.26000000000005</v>
      </c>
      <c r="I20" s="401"/>
      <c r="J20" s="401"/>
      <c r="K20" s="401"/>
      <c r="L20" s="401"/>
      <c r="M20" s="401"/>
      <c r="N20" s="402"/>
      <c r="O20" s="402"/>
      <c r="P20" s="402"/>
      <c r="Q20" s="402"/>
      <c r="R20" s="402"/>
    </row>
    <row r="21" spans="1:19" s="403" customFormat="1" ht="16.5">
      <c r="A21" s="407"/>
      <c r="B21" s="410" t="s">
        <v>445</v>
      </c>
      <c r="C21" s="411">
        <f t="shared" si="7"/>
        <v>9.6359999999999992</v>
      </c>
      <c r="D21" s="411">
        <f t="shared" si="7"/>
        <v>20.725200000000001</v>
      </c>
      <c r="E21" s="411">
        <f t="shared" si="7"/>
        <v>655.2048000000002</v>
      </c>
      <c r="F21" s="411">
        <f t="shared" si="7"/>
        <v>508.88600000000031</v>
      </c>
      <c r="G21" s="411">
        <f t="shared" si="7"/>
        <v>2206.8752299999992</v>
      </c>
      <c r="H21" s="411">
        <f t="shared" si="7"/>
        <v>422.10000000000008</v>
      </c>
      <c r="I21" s="401"/>
      <c r="J21" s="401"/>
      <c r="K21" s="401"/>
      <c r="L21" s="401"/>
      <c r="M21" s="401"/>
      <c r="N21" s="402"/>
      <c r="O21" s="402"/>
      <c r="P21" s="402"/>
      <c r="Q21" s="402"/>
      <c r="R21" s="402"/>
    </row>
    <row r="22" spans="1:19" s="418" customFormat="1" ht="15.75">
      <c r="A22" s="413"/>
      <c r="B22" s="414" t="s">
        <v>448</v>
      </c>
      <c r="C22" s="415"/>
      <c r="D22" s="415"/>
      <c r="E22" s="415"/>
      <c r="F22" s="415"/>
      <c r="G22" s="415"/>
      <c r="H22" s="415"/>
      <c r="I22" s="416">
        <v>0</v>
      </c>
      <c r="J22" s="416">
        <v>0</v>
      </c>
      <c r="K22" s="417">
        <f>P22*4</f>
        <v>0</v>
      </c>
      <c r="L22" s="417">
        <f>Q22*8</f>
        <v>0</v>
      </c>
      <c r="M22" s="417">
        <f>R22*11</f>
        <v>0</v>
      </c>
      <c r="N22" s="412"/>
      <c r="O22" s="412"/>
      <c r="P22" s="412"/>
      <c r="Q22" s="412"/>
      <c r="R22" s="412"/>
    </row>
    <row r="23" spans="1:19" s="403" customFormat="1" ht="16.5">
      <c r="A23" s="407"/>
      <c r="B23" s="410" t="s">
        <v>442</v>
      </c>
      <c r="C23" s="411">
        <f>4*N23*0.6^2</f>
        <v>0</v>
      </c>
      <c r="D23" s="411">
        <f>4*O23*0.6^2</f>
        <v>0</v>
      </c>
      <c r="E23" s="411">
        <f>4*P23*0.6^2</f>
        <v>1419.84</v>
      </c>
      <c r="F23" s="411">
        <f>8*Q23*0.3*0.6*1/4</f>
        <v>559.43999999999994</v>
      </c>
      <c r="G23" s="411">
        <f>8*Q23*0.3*0.6*3/4</f>
        <v>1678.3199999999997</v>
      </c>
      <c r="H23" s="411">
        <f>11*R23*0.3^2</f>
        <v>1.98</v>
      </c>
      <c r="I23" s="401"/>
      <c r="J23" s="401"/>
      <c r="K23" s="401"/>
      <c r="L23" s="401"/>
      <c r="M23" s="401"/>
      <c r="N23" s="402"/>
      <c r="O23" s="402"/>
      <c r="P23" s="412">
        <v>986</v>
      </c>
      <c r="Q23" s="412">
        <v>1554</v>
      </c>
      <c r="R23" s="412">
        <f>22/11</f>
        <v>2</v>
      </c>
    </row>
    <row r="24" spans="1:19" s="403" customFormat="1" ht="16.5">
      <c r="A24" s="407"/>
      <c r="B24" s="410" t="s">
        <v>443</v>
      </c>
      <c r="C24" s="411"/>
      <c r="D24" s="411"/>
      <c r="E24" s="411"/>
      <c r="F24" s="411"/>
      <c r="G24" s="411"/>
      <c r="H24" s="411"/>
      <c r="I24" s="401"/>
      <c r="J24" s="401"/>
      <c r="K24" s="401"/>
      <c r="L24" s="401"/>
      <c r="M24" s="401"/>
      <c r="N24" s="402"/>
      <c r="O24" s="402"/>
      <c r="P24" s="402"/>
      <c r="Q24" s="402"/>
      <c r="R24" s="402"/>
    </row>
    <row r="25" spans="1:19" s="403" customFormat="1" ht="16.5">
      <c r="A25" s="407"/>
      <c r="B25" s="410" t="s">
        <v>447</v>
      </c>
      <c r="C25" s="411">
        <v>2500</v>
      </c>
      <c r="D25" s="411"/>
      <c r="E25" s="411"/>
      <c r="F25" s="411"/>
      <c r="G25" s="411"/>
      <c r="H25" s="411"/>
      <c r="I25" s="401"/>
      <c r="J25" s="401"/>
      <c r="K25" s="401"/>
      <c r="L25" s="401"/>
      <c r="M25" s="401"/>
      <c r="N25" s="402"/>
      <c r="O25" s="402"/>
      <c r="P25" s="402"/>
      <c r="Q25" s="402"/>
      <c r="R25" s="402"/>
    </row>
    <row r="26" spans="1:19" s="403" customFormat="1" ht="16.5">
      <c r="A26" s="407"/>
      <c r="B26" s="410" t="s">
        <v>445</v>
      </c>
      <c r="C26" s="411">
        <v>500</v>
      </c>
      <c r="D26" s="411"/>
      <c r="E26" s="411"/>
      <c r="F26" s="411"/>
      <c r="G26" s="411"/>
      <c r="H26" s="411"/>
      <c r="I26" s="401"/>
      <c r="J26" s="401"/>
      <c r="K26" s="401"/>
      <c r="L26" s="401"/>
      <c r="M26" s="401"/>
      <c r="N26" s="402"/>
      <c r="O26" s="402"/>
      <c r="P26" s="402"/>
      <c r="Q26" s="402"/>
      <c r="R26" s="402"/>
    </row>
    <row r="27" spans="1:19" s="424" customFormat="1" ht="15.75">
      <c r="A27" s="419"/>
      <c r="B27" s="420" t="s">
        <v>449</v>
      </c>
      <c r="C27" s="421"/>
      <c r="D27" s="421"/>
      <c r="E27" s="421"/>
      <c r="F27" s="421"/>
      <c r="G27" s="421"/>
      <c r="H27" s="421"/>
      <c r="I27" s="422">
        <f>I8-I22</f>
        <v>223.05555555555554</v>
      </c>
      <c r="J27" s="422">
        <f>J8-J22</f>
        <v>479.75000000000006</v>
      </c>
      <c r="K27" s="422">
        <f>K8-K22</f>
        <v>15166.777777777785</v>
      </c>
      <c r="L27" s="422">
        <f>L8-L22</f>
        <v>107768.30277777775</v>
      </c>
      <c r="M27" s="422">
        <f>M8-M22</f>
        <v>2345.0000000000005</v>
      </c>
      <c r="N27" s="423"/>
      <c r="O27" s="423"/>
      <c r="P27" s="423"/>
      <c r="Q27" s="423"/>
      <c r="R27" s="423"/>
    </row>
    <row r="28" spans="1:19" s="403" customFormat="1" ht="16.5">
      <c r="A28" s="407"/>
      <c r="B28" s="410" t="s">
        <v>442</v>
      </c>
      <c r="C28" s="411">
        <f>C18-C23</f>
        <v>81.102999999999994</v>
      </c>
      <c r="D28" s="411">
        <f t="shared" ref="D28:H28" si="8">D18-D23</f>
        <v>174.43710000000002</v>
      </c>
      <c r="E28" s="411">
        <f t="shared" si="8"/>
        <v>4204.0012000000015</v>
      </c>
      <c r="F28" s="411">
        <f t="shared" si="8"/>
        <v>3184.5070000000019</v>
      </c>
      <c r="G28" s="411">
        <f t="shared" si="8"/>
        <v>14873.244224999995</v>
      </c>
      <c r="H28" s="411">
        <f t="shared" si="8"/>
        <v>210.12525000000002</v>
      </c>
      <c r="I28" s="401"/>
      <c r="J28" s="401"/>
      <c r="K28" s="401"/>
      <c r="L28" s="401"/>
      <c r="M28" s="401"/>
      <c r="N28" s="402">
        <f t="shared" ref="N28:R31" si="9">N18-N23</f>
        <v>56.321527777777774</v>
      </c>
      <c r="O28" s="402">
        <f t="shared" si="9"/>
        <v>121.13687500000002</v>
      </c>
      <c r="P28" s="402">
        <f t="shared" si="9"/>
        <v>2919.4452777777797</v>
      </c>
      <c r="Q28" s="402">
        <f t="shared" si="9"/>
        <v>12321.168982638885</v>
      </c>
      <c r="R28" s="402">
        <f t="shared" si="9"/>
        <v>221.84090909090912</v>
      </c>
    </row>
    <row r="29" spans="1:19" s="403" customFormat="1" ht="16.5">
      <c r="A29" s="407"/>
      <c r="B29" s="410" t="s">
        <v>443</v>
      </c>
      <c r="C29" s="411">
        <f>SUM(C19:H19)-C24</f>
        <v>78924.671799999996</v>
      </c>
      <c r="D29" s="411"/>
      <c r="E29" s="411"/>
      <c r="F29" s="411"/>
      <c r="G29" s="411"/>
      <c r="H29" s="411"/>
      <c r="I29" s="401"/>
      <c r="J29" s="401"/>
      <c r="K29" s="401"/>
      <c r="L29" s="401"/>
      <c r="M29" s="401"/>
      <c r="N29" s="402">
        <f t="shared" si="9"/>
        <v>0</v>
      </c>
      <c r="O29" s="402">
        <f t="shared" si="9"/>
        <v>0</v>
      </c>
      <c r="P29" s="402">
        <f t="shared" si="9"/>
        <v>0</v>
      </c>
      <c r="Q29" s="402">
        <f t="shared" si="9"/>
        <v>0</v>
      </c>
      <c r="R29" s="402">
        <f t="shared" si="9"/>
        <v>0</v>
      </c>
    </row>
    <row r="30" spans="1:19" s="403" customFormat="1" ht="16.5">
      <c r="A30" s="407"/>
      <c r="B30" s="410" t="s">
        <v>447</v>
      </c>
      <c r="C30" s="411">
        <f t="shared" ref="C30:C31" si="10">SUM(C20:H20)-C25</f>
        <v>21177.401539999999</v>
      </c>
      <c r="D30" s="411"/>
      <c r="E30" s="411"/>
      <c r="F30" s="411"/>
      <c r="G30" s="411"/>
      <c r="H30" s="411"/>
      <c r="I30" s="401"/>
      <c r="J30" s="401"/>
      <c r="K30" s="401"/>
      <c r="L30" s="401"/>
      <c r="M30" s="401"/>
      <c r="N30" s="402">
        <f t="shared" si="9"/>
        <v>0</v>
      </c>
      <c r="O30" s="402">
        <f t="shared" si="9"/>
        <v>0</v>
      </c>
      <c r="P30" s="402">
        <f t="shared" si="9"/>
        <v>0</v>
      </c>
      <c r="Q30" s="402">
        <f t="shared" si="9"/>
        <v>0</v>
      </c>
      <c r="R30" s="402">
        <f t="shared" si="9"/>
        <v>0</v>
      </c>
    </row>
    <row r="31" spans="1:19" s="403" customFormat="1" ht="16.5">
      <c r="A31" s="407"/>
      <c r="B31" s="410" t="s">
        <v>445</v>
      </c>
      <c r="C31" s="411">
        <f t="shared" si="10"/>
        <v>3323.4272299999998</v>
      </c>
      <c r="D31" s="411"/>
      <c r="E31" s="411"/>
      <c r="F31" s="411"/>
      <c r="G31" s="411"/>
      <c r="H31" s="411"/>
      <c r="I31" s="401"/>
      <c r="J31" s="401"/>
      <c r="K31" s="401"/>
      <c r="L31" s="401"/>
      <c r="M31" s="401"/>
      <c r="N31" s="402">
        <f t="shared" si="9"/>
        <v>0</v>
      </c>
      <c r="O31" s="402">
        <f t="shared" si="9"/>
        <v>0</v>
      </c>
      <c r="P31" s="402">
        <f t="shared" si="9"/>
        <v>0</v>
      </c>
      <c r="Q31" s="402">
        <f t="shared" si="9"/>
        <v>0</v>
      </c>
      <c r="R31" s="402">
        <f t="shared" si="9"/>
        <v>0</v>
      </c>
    </row>
    <row r="32" spans="1:19" s="418" customFormat="1" ht="15.75">
      <c r="A32" s="425"/>
      <c r="B32" s="426"/>
      <c r="C32" s="426"/>
      <c r="D32" s="426"/>
      <c r="E32" s="427"/>
      <c r="F32" s="427"/>
      <c r="G32" s="427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7"/>
    </row>
    <row r="33" spans="1:18" ht="15.75">
      <c r="A33" s="429"/>
      <c r="B33" s="430" t="s">
        <v>450</v>
      </c>
      <c r="C33" s="430"/>
      <c r="D33" s="430"/>
      <c r="E33" s="431"/>
      <c r="F33" s="361"/>
      <c r="G33" s="361"/>
      <c r="H33" s="432"/>
      <c r="I33" s="432"/>
      <c r="J33" s="432"/>
      <c r="K33" s="431"/>
      <c r="L33" s="433"/>
      <c r="M33" s="433"/>
      <c r="N33" s="433"/>
      <c r="O33" s="433"/>
      <c r="P33" s="527" t="s">
        <v>451</v>
      </c>
      <c r="Q33" s="527"/>
      <c r="R33" s="527"/>
    </row>
    <row r="34" spans="1:18" ht="15.75">
      <c r="A34" s="429"/>
      <c r="B34" s="430"/>
      <c r="C34" s="430"/>
      <c r="D34" s="430"/>
      <c r="E34" s="431"/>
      <c r="F34" s="434"/>
      <c r="G34" s="434"/>
      <c r="H34" s="431"/>
      <c r="I34" s="431"/>
      <c r="J34" s="431"/>
      <c r="K34" s="431"/>
      <c r="L34" s="434"/>
      <c r="M34" s="431"/>
      <c r="N34" s="431"/>
      <c r="O34" s="431"/>
      <c r="P34" s="433"/>
      <c r="Q34" s="433"/>
      <c r="R34" s="433"/>
    </row>
    <row r="35" spans="1:18" ht="15.75">
      <c r="A35" s="429"/>
      <c r="B35" s="430" t="s">
        <v>452</v>
      </c>
      <c r="C35" s="430"/>
      <c r="D35" s="430"/>
      <c r="E35" s="431"/>
      <c r="F35" s="434"/>
      <c r="G35" s="434"/>
      <c r="H35" s="431"/>
      <c r="I35" s="431"/>
      <c r="J35" s="431"/>
      <c r="K35" s="431"/>
      <c r="L35" s="434"/>
      <c r="M35" s="431"/>
      <c r="N35" s="431"/>
      <c r="O35" s="431"/>
    </row>
  </sheetData>
  <mergeCells count="6">
    <mergeCell ref="P33:R33"/>
    <mergeCell ref="A1:M1"/>
    <mergeCell ref="A2:M2"/>
    <mergeCell ref="C5:H5"/>
    <mergeCell ref="I5:M5"/>
    <mergeCell ref="N5:R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 XÂY TÔ</vt:lpstr>
      <vt:lpstr>TH KL TRÁM VÁ</vt:lpstr>
      <vt:lpstr>CÁN NỀN</vt:lpstr>
      <vt:lpstr>CHỐNG THẤM</vt:lpstr>
      <vt:lpstr>DỰ TRÙ VT XÂY TÔ</vt:lpstr>
      <vt:lpstr>DỰ TRÙ VT ỐP LÁT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anhtuan</dc:creator>
  <cp:lastModifiedBy>atuan</cp:lastModifiedBy>
  <dcterms:created xsi:type="dcterms:W3CDTF">2011-11-25T02:14:42Z</dcterms:created>
  <dcterms:modified xsi:type="dcterms:W3CDTF">2012-02-17T04:34:40Z</dcterms:modified>
</cp:coreProperties>
</file>